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ameshawar\Desktop\RSA\"/>
    </mc:Choice>
  </mc:AlternateContent>
  <bookViews>
    <workbookView xWindow="0" yWindow="0" windowWidth="20490" windowHeight="7755" activeTab="5"/>
  </bookViews>
  <sheets>
    <sheet name="SoE" sheetId="1" r:id="rId1"/>
    <sheet name="Deferred" sheetId="4" r:id="rId2"/>
    <sheet name="COTI" sheetId="2" r:id="rId3"/>
    <sheet name="MAT" sheetId="3" r:id="rId4"/>
    <sheet name="FAS" sheetId="7" r:id="rId5"/>
    <sheet name="FA CA" sheetId="5" r:id="rId6"/>
    <sheet name="FA IT" sheetId="6" r:id="rId7"/>
    <sheet name="FA ADDN IT" sheetId="8" r:id="rId8"/>
  </sheets>
  <definedNames>
    <definedName name="_xlnm._FilterDatabase" localSheetId="7" hidden="1">'FA ADDN IT'!$A$2:$G$101</definedName>
    <definedName name="_xlnm._FilterDatabase" localSheetId="5" hidden="1">'FA CA'!$A$2:$M$148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1" i="5" l="1"/>
  <c r="I201" i="5" s="1"/>
  <c r="J201" i="5"/>
  <c r="D122" i="5"/>
  <c r="L201" i="5" l="1"/>
  <c r="K201" i="5"/>
  <c r="M27" i="3"/>
  <c r="K27" i="3"/>
  <c r="I27" i="3"/>
  <c r="G27" i="3"/>
  <c r="E27" i="3"/>
  <c r="C27" i="3"/>
  <c r="C33" i="3"/>
  <c r="C32" i="3"/>
  <c r="C31" i="3"/>
  <c r="C30" i="3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G104" i="8"/>
  <c r="G147" i="8"/>
  <c r="D147" i="8"/>
  <c r="G146" i="8"/>
  <c r="D146" i="8"/>
  <c r="G145" i="8"/>
  <c r="D145" i="8"/>
  <c r="F144" i="8"/>
  <c r="D144" i="8"/>
  <c r="F143" i="8"/>
  <c r="D143" i="8"/>
  <c r="F142" i="8"/>
  <c r="D142" i="8"/>
  <c r="F141" i="8"/>
  <c r="D141" i="8"/>
  <c r="F137" i="8"/>
  <c r="F136" i="8"/>
  <c r="F135" i="8"/>
  <c r="F134" i="8"/>
  <c r="F133" i="8"/>
  <c r="D132" i="8"/>
  <c r="F132" i="8"/>
  <c r="D133" i="8"/>
  <c r="D134" i="8"/>
  <c r="D135" i="8"/>
  <c r="D136" i="8"/>
  <c r="D137" i="8"/>
  <c r="D138" i="8"/>
  <c r="G138" i="8"/>
  <c r="G129" i="8"/>
  <c r="D129" i="8"/>
  <c r="G128" i="8"/>
  <c r="D128" i="8"/>
  <c r="G127" i="8"/>
  <c r="D127" i="8"/>
  <c r="G126" i="8"/>
  <c r="D126" i="8"/>
  <c r="G125" i="8"/>
  <c r="D125" i="8"/>
  <c r="G124" i="8"/>
  <c r="D124" i="8"/>
  <c r="F123" i="8"/>
  <c r="D123" i="8"/>
  <c r="D120" i="8"/>
  <c r="D119" i="8"/>
  <c r="F118" i="8"/>
  <c r="D118" i="8"/>
  <c r="F117" i="8"/>
  <c r="D117" i="8"/>
  <c r="F116" i="8"/>
  <c r="D116" i="8"/>
  <c r="F115" i="8"/>
  <c r="D115" i="8"/>
  <c r="F114" i="8"/>
  <c r="D114" i="8"/>
  <c r="G120" i="8"/>
  <c r="G119" i="8"/>
  <c r="G110" i="8"/>
  <c r="G109" i="8"/>
  <c r="G108" i="8"/>
  <c r="G107" i="8"/>
  <c r="G106" i="8"/>
  <c r="G105" i="8"/>
  <c r="M201" i="5" l="1"/>
  <c r="A1" i="1"/>
  <c r="K20" i="1"/>
  <c r="M15" i="1"/>
  <c r="K15" i="1"/>
  <c r="I15" i="1"/>
  <c r="G15" i="1"/>
  <c r="E15" i="1"/>
  <c r="C12" i="1"/>
  <c r="C19" i="1" s="1"/>
  <c r="I26" i="4"/>
  <c r="AD9" i="4"/>
  <c r="Y9" i="4"/>
  <c r="T9" i="4"/>
  <c r="V9" i="4" s="1"/>
  <c r="O9" i="4"/>
  <c r="J9" i="4"/>
  <c r="E9" i="4"/>
  <c r="AE9" i="4"/>
  <c r="AF9" i="4"/>
  <c r="Z9" i="4"/>
  <c r="AA9" i="4"/>
  <c r="U9" i="4"/>
  <c r="P9" i="4"/>
  <c r="Q9" i="4"/>
  <c r="K9" i="4"/>
  <c r="L9" i="4" s="1"/>
  <c r="F9" i="4"/>
  <c r="G9" i="4" s="1"/>
  <c r="AC9" i="4"/>
  <c r="X9" i="4"/>
  <c r="S9" i="4"/>
  <c r="N9" i="4"/>
  <c r="I9" i="4"/>
  <c r="D9" i="4"/>
  <c r="C9" i="4"/>
  <c r="AE10" i="4"/>
  <c r="AE8" i="4"/>
  <c r="AD8" i="4"/>
  <c r="AF8" i="4" s="1"/>
  <c r="AE5" i="4"/>
  <c r="AE7" i="4" s="1"/>
  <c r="Z10" i="4"/>
  <c r="Z8" i="4"/>
  <c r="Y8" i="4"/>
  <c r="AA8" i="4" s="1"/>
  <c r="Z5" i="4"/>
  <c r="Z7" i="4" s="1"/>
  <c r="U10" i="4"/>
  <c r="U8" i="4"/>
  <c r="T8" i="4"/>
  <c r="V8" i="4" s="1"/>
  <c r="U5" i="4"/>
  <c r="U7" i="4" s="1"/>
  <c r="P10" i="4"/>
  <c r="P8" i="4"/>
  <c r="O8" i="4"/>
  <c r="Q8" i="4" s="1"/>
  <c r="P5" i="4"/>
  <c r="P7" i="4" s="1"/>
  <c r="K10" i="4"/>
  <c r="K8" i="4"/>
  <c r="K5" i="4"/>
  <c r="K7" i="4" s="1"/>
  <c r="H8" i="4"/>
  <c r="I8" i="4"/>
  <c r="J8" i="4" s="1"/>
  <c r="L8" i="4" s="1"/>
  <c r="M8" i="4"/>
  <c r="N8" i="4"/>
  <c r="R8" i="4"/>
  <c r="S8" i="4"/>
  <c r="W8" i="4"/>
  <c r="X8" i="4"/>
  <c r="X10" i="4"/>
  <c r="AB8" i="4"/>
  <c r="AC8" i="4"/>
  <c r="AB10" i="4"/>
  <c r="N16" i="1"/>
  <c r="M20" i="1" s="1"/>
  <c r="L16" i="1"/>
  <c r="J16" i="1"/>
  <c r="I20" i="1" s="1"/>
  <c r="H16" i="1"/>
  <c r="G20" i="1" s="1"/>
  <c r="F16" i="1"/>
  <c r="E20" i="1" s="1"/>
  <c r="AB34" i="4"/>
  <c r="W34" i="4"/>
  <c r="R34" i="4"/>
  <c r="M34" i="4"/>
  <c r="H34" i="4"/>
  <c r="AB32" i="4"/>
  <c r="AB37" i="4" s="1"/>
  <c r="W32" i="4"/>
  <c r="R32" i="4"/>
  <c r="M32" i="4"/>
  <c r="H32" i="4"/>
  <c r="AC35" i="4"/>
  <c r="AC37" i="4" s="1"/>
  <c r="AC10" i="4" s="1"/>
  <c r="AD10" i="4" s="1"/>
  <c r="AF10" i="4" s="1"/>
  <c r="X35" i="4"/>
  <c r="S35" i="4"/>
  <c r="N35" i="4"/>
  <c r="N37" i="4" s="1"/>
  <c r="N10" i="4" s="1"/>
  <c r="I35" i="4"/>
  <c r="AB26" i="4"/>
  <c r="AC24" i="4"/>
  <c r="AC23" i="4"/>
  <c r="AC22" i="4"/>
  <c r="AC21" i="4"/>
  <c r="AC20" i="4"/>
  <c r="AC19" i="4"/>
  <c r="AC18" i="4"/>
  <c r="AC26" i="4" s="1"/>
  <c r="X37" i="4"/>
  <c r="W26" i="4"/>
  <c r="X24" i="4"/>
  <c r="X23" i="4"/>
  <c r="X22" i="4"/>
  <c r="X21" i="4"/>
  <c r="X20" i="4"/>
  <c r="X19" i="4"/>
  <c r="X18" i="4"/>
  <c r="S37" i="4"/>
  <c r="S10" i="4" s="1"/>
  <c r="T10" i="4" s="1"/>
  <c r="V10" i="4" s="1"/>
  <c r="R37" i="4"/>
  <c r="R10" i="4" s="1"/>
  <c r="R26" i="4"/>
  <c r="S24" i="4"/>
  <c r="S23" i="4"/>
  <c r="S22" i="4"/>
  <c r="S21" i="4"/>
  <c r="S20" i="4"/>
  <c r="S19" i="4"/>
  <c r="S18" i="4"/>
  <c r="S26" i="4" s="1"/>
  <c r="M37" i="4"/>
  <c r="M10" i="4" s="1"/>
  <c r="M26" i="4"/>
  <c r="N24" i="4"/>
  <c r="N23" i="4"/>
  <c r="N22" i="4"/>
  <c r="N21" i="4"/>
  <c r="N20" i="4"/>
  <c r="N19" i="4"/>
  <c r="N18" i="4"/>
  <c r="I18" i="4"/>
  <c r="I19" i="4"/>
  <c r="I20" i="4"/>
  <c r="I21" i="4"/>
  <c r="I22" i="4"/>
  <c r="I23" i="4"/>
  <c r="I24" i="4"/>
  <c r="H26" i="4"/>
  <c r="I37" i="4"/>
  <c r="I10" i="4" s="1"/>
  <c r="F10" i="4"/>
  <c r="D35" i="4"/>
  <c r="C22" i="2"/>
  <c r="C32" i="4"/>
  <c r="F8" i="4"/>
  <c r="H17" i="5"/>
  <c r="H16" i="5"/>
  <c r="H15" i="5"/>
  <c r="N6" i="2"/>
  <c r="L6" i="2"/>
  <c r="J6" i="2"/>
  <c r="M5" i="3"/>
  <c r="M25" i="3" s="1"/>
  <c r="H6" i="2"/>
  <c r="F6" i="2"/>
  <c r="M24" i="3"/>
  <c r="M15" i="3"/>
  <c r="K24" i="3"/>
  <c r="K15" i="3"/>
  <c r="K5" i="3"/>
  <c r="K25" i="3" s="1"/>
  <c r="I24" i="3"/>
  <c r="I15" i="3"/>
  <c r="I5" i="3"/>
  <c r="I25" i="3" s="1"/>
  <c r="G24" i="3"/>
  <c r="G15" i="3"/>
  <c r="G5" i="3"/>
  <c r="G25" i="3" s="1"/>
  <c r="E24" i="3"/>
  <c r="E15" i="3"/>
  <c r="E5" i="3"/>
  <c r="E25" i="3" s="1"/>
  <c r="G74" i="6"/>
  <c r="H77" i="6"/>
  <c r="E77" i="6"/>
  <c r="G77" i="6"/>
  <c r="H76" i="6"/>
  <c r="E76" i="6"/>
  <c r="G76" i="6"/>
  <c r="H75" i="6"/>
  <c r="E75" i="6"/>
  <c r="G75" i="6"/>
  <c r="H74" i="6"/>
  <c r="E74" i="6"/>
  <c r="H73" i="6"/>
  <c r="E73" i="6"/>
  <c r="G73" i="6"/>
  <c r="H72" i="6"/>
  <c r="E72" i="6"/>
  <c r="G72" i="6"/>
  <c r="H71" i="6"/>
  <c r="H78" i="6" s="1"/>
  <c r="E71" i="6"/>
  <c r="E78" i="6" s="1"/>
  <c r="G71" i="6"/>
  <c r="F70" i="6"/>
  <c r="C65" i="6"/>
  <c r="H64" i="6"/>
  <c r="E64" i="6"/>
  <c r="G64" i="6"/>
  <c r="H63" i="6"/>
  <c r="E63" i="6"/>
  <c r="G63" i="6"/>
  <c r="H62" i="6"/>
  <c r="E62" i="6"/>
  <c r="G62" i="6"/>
  <c r="H61" i="6"/>
  <c r="E61" i="6"/>
  <c r="G61" i="6"/>
  <c r="H60" i="6"/>
  <c r="E60" i="6"/>
  <c r="H59" i="6"/>
  <c r="E59" i="6"/>
  <c r="G59" i="6"/>
  <c r="H58" i="6"/>
  <c r="H65" i="6" s="1"/>
  <c r="E58" i="6"/>
  <c r="E65" i="6" s="1"/>
  <c r="G58" i="6"/>
  <c r="F57" i="6"/>
  <c r="G48" i="6"/>
  <c r="G46" i="6"/>
  <c r="H51" i="6"/>
  <c r="E51" i="6"/>
  <c r="G51" i="6"/>
  <c r="H50" i="6"/>
  <c r="E50" i="6"/>
  <c r="G50" i="6"/>
  <c r="H49" i="6"/>
  <c r="E49" i="6"/>
  <c r="H48" i="6"/>
  <c r="E48" i="6"/>
  <c r="H47" i="6"/>
  <c r="E47" i="6"/>
  <c r="G47" i="6"/>
  <c r="H46" i="6"/>
  <c r="E46" i="6"/>
  <c r="H45" i="6"/>
  <c r="H52" i="6" s="1"/>
  <c r="E45" i="6"/>
  <c r="E52" i="6" s="1"/>
  <c r="G45" i="6"/>
  <c r="F44" i="6"/>
  <c r="G33" i="6"/>
  <c r="H38" i="6"/>
  <c r="E38" i="6"/>
  <c r="G38" i="6"/>
  <c r="H37" i="6"/>
  <c r="G37" i="6"/>
  <c r="E37" i="6"/>
  <c r="H36" i="6"/>
  <c r="G36" i="6"/>
  <c r="E36" i="6"/>
  <c r="H35" i="6"/>
  <c r="G35" i="6"/>
  <c r="E35" i="6"/>
  <c r="H34" i="6"/>
  <c r="G34" i="6"/>
  <c r="E34" i="6"/>
  <c r="H33" i="6"/>
  <c r="E33" i="6"/>
  <c r="H32" i="6"/>
  <c r="H39" i="6" s="1"/>
  <c r="G32" i="6"/>
  <c r="E32" i="6"/>
  <c r="E39" i="6" s="1"/>
  <c r="D39" i="6"/>
  <c r="F31" i="6"/>
  <c r="G22" i="6"/>
  <c r="G20" i="6"/>
  <c r="H25" i="6"/>
  <c r="E25" i="6"/>
  <c r="G25" i="6"/>
  <c r="H24" i="6"/>
  <c r="E24" i="6"/>
  <c r="G24" i="6"/>
  <c r="H23" i="6"/>
  <c r="E23" i="6"/>
  <c r="G23" i="6"/>
  <c r="H22" i="6"/>
  <c r="E22" i="6"/>
  <c r="H21" i="6"/>
  <c r="E21" i="6"/>
  <c r="G21" i="6"/>
  <c r="H20" i="6"/>
  <c r="E20" i="6"/>
  <c r="H19" i="6"/>
  <c r="H26" i="6" s="1"/>
  <c r="E19" i="6"/>
  <c r="E26" i="6" s="1"/>
  <c r="F18" i="6"/>
  <c r="C60" i="7"/>
  <c r="C59" i="7"/>
  <c r="C58" i="7"/>
  <c r="C57" i="7"/>
  <c r="C56" i="7"/>
  <c r="C55" i="7"/>
  <c r="G60" i="7"/>
  <c r="G58" i="7"/>
  <c r="G57" i="7"/>
  <c r="G56" i="7"/>
  <c r="G55" i="7"/>
  <c r="G54" i="7"/>
  <c r="C74" i="7"/>
  <c r="C54" i="7"/>
  <c r="G46" i="7"/>
  <c r="G45" i="7"/>
  <c r="G44" i="7"/>
  <c r="G43" i="7"/>
  <c r="G42" i="7"/>
  <c r="C48" i="7"/>
  <c r="C47" i="7"/>
  <c r="C46" i="7"/>
  <c r="C45" i="7"/>
  <c r="C44" i="7"/>
  <c r="C43" i="7"/>
  <c r="C42" i="7"/>
  <c r="C38" i="7"/>
  <c r="H72" i="7"/>
  <c r="G72" i="7"/>
  <c r="D72" i="7"/>
  <c r="C72" i="7"/>
  <c r="H71" i="7"/>
  <c r="D71" i="7"/>
  <c r="C71" i="7"/>
  <c r="H70" i="7"/>
  <c r="G70" i="7"/>
  <c r="D70" i="7"/>
  <c r="C70" i="7"/>
  <c r="H69" i="7"/>
  <c r="G69" i="7"/>
  <c r="D69" i="7"/>
  <c r="C69" i="7"/>
  <c r="C73" i="7" s="1"/>
  <c r="H68" i="7"/>
  <c r="H73" i="7" s="1"/>
  <c r="G68" i="7"/>
  <c r="D68" i="7"/>
  <c r="D73" i="7" s="1"/>
  <c r="C68" i="7"/>
  <c r="H67" i="7"/>
  <c r="G67" i="7"/>
  <c r="D67" i="7"/>
  <c r="C67" i="7"/>
  <c r="H66" i="7"/>
  <c r="G66" i="7"/>
  <c r="D66" i="7"/>
  <c r="C66" i="7"/>
  <c r="F65" i="7"/>
  <c r="H60" i="7"/>
  <c r="D60" i="7"/>
  <c r="H59" i="7"/>
  <c r="D59" i="7"/>
  <c r="H58" i="7"/>
  <c r="D58" i="7"/>
  <c r="H57" i="7"/>
  <c r="D57" i="7"/>
  <c r="H56" i="7"/>
  <c r="D56" i="7"/>
  <c r="H55" i="7"/>
  <c r="D55" i="7"/>
  <c r="H54" i="7"/>
  <c r="H61" i="7" s="1"/>
  <c r="D54" i="7"/>
  <c r="D61" i="7" s="1"/>
  <c r="F53" i="7"/>
  <c r="F41" i="7"/>
  <c r="D42" i="7"/>
  <c r="D49" i="7" s="1"/>
  <c r="H42" i="7"/>
  <c r="H49" i="7" s="1"/>
  <c r="D43" i="7"/>
  <c r="H43" i="7"/>
  <c r="D44" i="7"/>
  <c r="H44" i="7"/>
  <c r="D45" i="7"/>
  <c r="H45" i="7"/>
  <c r="D46" i="7"/>
  <c r="H46" i="7"/>
  <c r="D47" i="7"/>
  <c r="H47" i="7"/>
  <c r="D48" i="7"/>
  <c r="H48" i="7"/>
  <c r="G36" i="7"/>
  <c r="G34" i="7"/>
  <c r="G33" i="7"/>
  <c r="G31" i="7"/>
  <c r="C36" i="7"/>
  <c r="C35" i="7"/>
  <c r="C34" i="7"/>
  <c r="C33" i="7"/>
  <c r="C32" i="7"/>
  <c r="C31" i="7"/>
  <c r="C30" i="7"/>
  <c r="H36" i="7"/>
  <c r="D36" i="7"/>
  <c r="H35" i="7"/>
  <c r="D35" i="7"/>
  <c r="H34" i="7"/>
  <c r="D34" i="7"/>
  <c r="H33" i="7"/>
  <c r="D33" i="7"/>
  <c r="H32" i="7"/>
  <c r="D32" i="7"/>
  <c r="H31" i="7"/>
  <c r="D31" i="7"/>
  <c r="H30" i="7"/>
  <c r="H37" i="7" s="1"/>
  <c r="D30" i="7"/>
  <c r="D37" i="7" s="1"/>
  <c r="F29" i="7"/>
  <c r="F185" i="5"/>
  <c r="E185" i="5"/>
  <c r="F176" i="5"/>
  <c r="E176" i="5"/>
  <c r="G167" i="5"/>
  <c r="F167" i="5"/>
  <c r="E167" i="5"/>
  <c r="E148" i="5"/>
  <c r="F148" i="5"/>
  <c r="C24" i="7"/>
  <c r="C23" i="7"/>
  <c r="C22" i="7"/>
  <c r="C21" i="7"/>
  <c r="C20" i="7"/>
  <c r="C19" i="7"/>
  <c r="C18" i="7"/>
  <c r="J184" i="5"/>
  <c r="J183" i="5"/>
  <c r="J182" i="5"/>
  <c r="J181" i="5"/>
  <c r="J180" i="5"/>
  <c r="J179" i="5"/>
  <c r="J178" i="5"/>
  <c r="G184" i="5"/>
  <c r="I184" i="5" s="1"/>
  <c r="G183" i="5"/>
  <c r="I183" i="5" s="1"/>
  <c r="I182" i="5"/>
  <c r="G182" i="5"/>
  <c r="G181" i="5"/>
  <c r="I181" i="5" s="1"/>
  <c r="G180" i="5"/>
  <c r="I180" i="5" s="1"/>
  <c r="G179" i="5"/>
  <c r="I179" i="5" s="1"/>
  <c r="D179" i="5"/>
  <c r="D180" i="5" s="1"/>
  <c r="D181" i="5" s="1"/>
  <c r="G178" i="5"/>
  <c r="J175" i="5"/>
  <c r="J172" i="5"/>
  <c r="J169" i="5"/>
  <c r="J166" i="5"/>
  <c r="J165" i="5"/>
  <c r="J164" i="5"/>
  <c r="J163" i="5"/>
  <c r="J162" i="5"/>
  <c r="J161" i="5"/>
  <c r="J160" i="5"/>
  <c r="G175" i="5"/>
  <c r="I175" i="5" s="1"/>
  <c r="G174" i="5"/>
  <c r="I174" i="5" s="1"/>
  <c r="I173" i="5"/>
  <c r="G173" i="5"/>
  <c r="G172" i="5"/>
  <c r="I172" i="5" s="1"/>
  <c r="G171" i="5"/>
  <c r="I171" i="5" s="1"/>
  <c r="D171" i="5"/>
  <c r="D172" i="5" s="1"/>
  <c r="G170" i="5"/>
  <c r="I170" i="5" s="1"/>
  <c r="D170" i="5"/>
  <c r="J170" i="5" s="1"/>
  <c r="I169" i="5"/>
  <c r="G169" i="5"/>
  <c r="F158" i="5"/>
  <c r="E158" i="5"/>
  <c r="G166" i="5"/>
  <c r="I166" i="5" s="1"/>
  <c r="I165" i="5"/>
  <c r="G165" i="5"/>
  <c r="I164" i="5"/>
  <c r="G164" i="5"/>
  <c r="G163" i="5"/>
  <c r="I163" i="5" s="1"/>
  <c r="G162" i="5"/>
  <c r="I162" i="5" s="1"/>
  <c r="I161" i="5"/>
  <c r="G161" i="5"/>
  <c r="D161" i="5"/>
  <c r="D162" i="5" s="1"/>
  <c r="D163" i="5" s="1"/>
  <c r="I160" i="5"/>
  <c r="L160" i="5" s="1"/>
  <c r="G160" i="5"/>
  <c r="J157" i="5"/>
  <c r="J156" i="5"/>
  <c r="J155" i="5"/>
  <c r="J154" i="5"/>
  <c r="J153" i="5"/>
  <c r="J152" i="5"/>
  <c r="J151" i="5"/>
  <c r="G157" i="5"/>
  <c r="I157" i="5" s="1"/>
  <c r="G156" i="5"/>
  <c r="I156" i="5" s="1"/>
  <c r="G155" i="5"/>
  <c r="I155" i="5" s="1"/>
  <c r="G154" i="5"/>
  <c r="I154" i="5" s="1"/>
  <c r="G153" i="5"/>
  <c r="I153" i="5" s="1"/>
  <c r="G152" i="5"/>
  <c r="I152" i="5" s="1"/>
  <c r="D152" i="5"/>
  <c r="D153" i="5" s="1"/>
  <c r="D154" i="5" s="1"/>
  <c r="G151" i="5"/>
  <c r="G147" i="5"/>
  <c r="G146" i="5"/>
  <c r="I146" i="5" s="1"/>
  <c r="G145" i="5"/>
  <c r="I145" i="5" s="1"/>
  <c r="G144" i="5"/>
  <c r="G143" i="5"/>
  <c r="G142" i="5"/>
  <c r="I142" i="5" s="1"/>
  <c r="G141" i="5"/>
  <c r="I141" i="5" s="1"/>
  <c r="I147" i="5"/>
  <c r="I143" i="5"/>
  <c r="J147" i="5"/>
  <c r="J141" i="5"/>
  <c r="F141" i="5"/>
  <c r="D142" i="5"/>
  <c r="J142" i="5" s="1"/>
  <c r="F17" i="7"/>
  <c r="D18" i="7"/>
  <c r="D25" i="7" s="1"/>
  <c r="H18" i="7"/>
  <c r="H25" i="7" s="1"/>
  <c r="D19" i="7"/>
  <c r="H19" i="7"/>
  <c r="D20" i="7"/>
  <c r="H20" i="7"/>
  <c r="D21" i="7"/>
  <c r="H21" i="7"/>
  <c r="D22" i="7"/>
  <c r="H22" i="7"/>
  <c r="D23" i="7"/>
  <c r="H23" i="7"/>
  <c r="D24" i="7"/>
  <c r="H24" i="7"/>
  <c r="K21" i="2"/>
  <c r="I21" i="2"/>
  <c r="E21" i="2"/>
  <c r="F5" i="4"/>
  <c r="F7" i="4" s="1"/>
  <c r="C24" i="3"/>
  <c r="C15" i="3"/>
  <c r="C5" i="3"/>
  <c r="C15" i="1" l="1"/>
  <c r="D16" i="1"/>
  <c r="C20" i="1" s="1"/>
  <c r="AH9" i="4"/>
  <c r="O10" i="4"/>
  <c r="Q10" i="4" s="1"/>
  <c r="W37" i="4"/>
  <c r="W10" i="4" s="1"/>
  <c r="Y10" i="4" s="1"/>
  <c r="AA10" i="4" s="1"/>
  <c r="N26" i="4"/>
  <c r="G15" i="2" s="1"/>
  <c r="X26" i="4"/>
  <c r="M15" i="2"/>
  <c r="I15" i="2"/>
  <c r="M21" i="2"/>
  <c r="G21" i="2"/>
  <c r="J41" i="2"/>
  <c r="H41" i="2"/>
  <c r="F41" i="2"/>
  <c r="N41" i="2"/>
  <c r="L41" i="2"/>
  <c r="D143" i="5"/>
  <c r="J143" i="5" s="1"/>
  <c r="L143" i="5" s="1"/>
  <c r="G20" i="7" s="1"/>
  <c r="K147" i="5"/>
  <c r="L142" i="5"/>
  <c r="D144" i="5"/>
  <c r="K142" i="5"/>
  <c r="L147" i="5"/>
  <c r="K143" i="5"/>
  <c r="G148" i="5"/>
  <c r="G78" i="6"/>
  <c r="D78" i="6"/>
  <c r="C78" i="6"/>
  <c r="G60" i="6"/>
  <c r="G65" i="6" s="1"/>
  <c r="D65" i="6"/>
  <c r="G49" i="6"/>
  <c r="G52" i="6"/>
  <c r="C52" i="6"/>
  <c r="D52" i="6"/>
  <c r="C39" i="6"/>
  <c r="G39" i="6"/>
  <c r="D26" i="6"/>
  <c r="G19" i="6"/>
  <c r="G26" i="6" s="1"/>
  <c r="C26" i="6"/>
  <c r="C61" i="7"/>
  <c r="C62" i="7" s="1"/>
  <c r="G185" i="5"/>
  <c r="I178" i="5"/>
  <c r="K178" i="5" s="1"/>
  <c r="G176" i="5"/>
  <c r="G158" i="5"/>
  <c r="C37" i="7"/>
  <c r="C49" i="7"/>
  <c r="C50" i="7" s="1"/>
  <c r="L178" i="5"/>
  <c r="L179" i="5"/>
  <c r="D182" i="5"/>
  <c r="K181" i="5"/>
  <c r="K184" i="5"/>
  <c r="L184" i="5"/>
  <c r="K180" i="5"/>
  <c r="L180" i="5"/>
  <c r="L169" i="5"/>
  <c r="J171" i="5"/>
  <c r="K175" i="5"/>
  <c r="L175" i="5"/>
  <c r="M175" i="5" s="1"/>
  <c r="D173" i="5"/>
  <c r="J173" i="5" s="1"/>
  <c r="L172" i="5"/>
  <c r="L170" i="5"/>
  <c r="K170" i="5"/>
  <c r="K172" i="5"/>
  <c r="L171" i="5"/>
  <c r="K169" i="5"/>
  <c r="M169" i="5" s="1"/>
  <c r="K171" i="5"/>
  <c r="K161" i="5"/>
  <c r="K166" i="5"/>
  <c r="L166" i="5"/>
  <c r="D164" i="5"/>
  <c r="L163" i="5"/>
  <c r="K160" i="5"/>
  <c r="K162" i="5"/>
  <c r="I151" i="5"/>
  <c r="L151" i="5" s="1"/>
  <c r="L152" i="5"/>
  <c r="L154" i="5"/>
  <c r="K157" i="5"/>
  <c r="L157" i="5"/>
  <c r="L153" i="5"/>
  <c r="D155" i="5"/>
  <c r="K154" i="5"/>
  <c r="K152" i="5"/>
  <c r="K153" i="5"/>
  <c r="I144" i="5"/>
  <c r="L141" i="5"/>
  <c r="K141" i="5"/>
  <c r="C25" i="7"/>
  <c r="C26" i="7" s="1"/>
  <c r="C25" i="3"/>
  <c r="D37" i="4"/>
  <c r="D10" i="4" s="1"/>
  <c r="K15" i="2" l="1"/>
  <c r="E15" i="2"/>
  <c r="D41" i="2"/>
  <c r="M166" i="5"/>
  <c r="G48" i="7"/>
  <c r="M142" i="5"/>
  <c r="G19" i="7"/>
  <c r="G18" i="7"/>
  <c r="D145" i="5"/>
  <c r="J144" i="5"/>
  <c r="L144" i="5" s="1"/>
  <c r="M147" i="5"/>
  <c r="G24" i="7"/>
  <c r="M143" i="5"/>
  <c r="M184" i="5"/>
  <c r="M178" i="5"/>
  <c r="G32" i="7"/>
  <c r="G30" i="7"/>
  <c r="K179" i="5"/>
  <c r="M179" i="5" s="1"/>
  <c r="M180" i="5"/>
  <c r="D183" i="5"/>
  <c r="L181" i="5"/>
  <c r="M181" i="5" s="1"/>
  <c r="M172" i="5"/>
  <c r="M160" i="5"/>
  <c r="M170" i="5"/>
  <c r="M171" i="5"/>
  <c r="D174" i="5"/>
  <c r="J174" i="5" s="1"/>
  <c r="K163" i="5"/>
  <c r="M163" i="5" s="1"/>
  <c r="L161" i="5"/>
  <c r="D165" i="5"/>
  <c r="L162" i="5"/>
  <c r="M157" i="5"/>
  <c r="K151" i="5"/>
  <c r="M152" i="5"/>
  <c r="M153" i="5"/>
  <c r="D156" i="5"/>
  <c r="M154" i="5"/>
  <c r="M151" i="5"/>
  <c r="M141" i="5"/>
  <c r="C34" i="4"/>
  <c r="D24" i="4"/>
  <c r="D23" i="4"/>
  <c r="D22" i="4"/>
  <c r="D21" i="4"/>
  <c r="D20" i="4"/>
  <c r="D19" i="4"/>
  <c r="D18" i="4"/>
  <c r="D25" i="2"/>
  <c r="A1" i="2"/>
  <c r="C26" i="4"/>
  <c r="D12" i="6"/>
  <c r="D11" i="6"/>
  <c r="D10" i="6"/>
  <c r="D9" i="6"/>
  <c r="D8" i="6"/>
  <c r="D7" i="6"/>
  <c r="D6" i="6"/>
  <c r="C12" i="6"/>
  <c r="C11" i="6"/>
  <c r="G11" i="6" s="1"/>
  <c r="C10" i="6"/>
  <c r="G10" i="6" s="1"/>
  <c r="C9" i="6"/>
  <c r="C8" i="6"/>
  <c r="C7" i="6"/>
  <c r="G7" i="6" s="1"/>
  <c r="C6" i="6"/>
  <c r="G6" i="6" s="1"/>
  <c r="B12" i="6"/>
  <c r="B11" i="6"/>
  <c r="F11" i="6" s="1"/>
  <c r="B10" i="6"/>
  <c r="B9" i="6"/>
  <c r="F9" i="6" s="1"/>
  <c r="B8" i="6"/>
  <c r="B7" i="6"/>
  <c r="F7" i="6" s="1"/>
  <c r="B6" i="6"/>
  <c r="D13" i="7"/>
  <c r="B12" i="7"/>
  <c r="B11" i="7"/>
  <c r="B10" i="7"/>
  <c r="B9" i="7"/>
  <c r="B8" i="7"/>
  <c r="B7" i="7"/>
  <c r="B6" i="7"/>
  <c r="F139" i="5"/>
  <c r="G102" i="8"/>
  <c r="F102" i="8"/>
  <c r="G137" i="5"/>
  <c r="I137" i="5" s="1"/>
  <c r="G136" i="5"/>
  <c r="I136" i="5" s="1"/>
  <c r="G135" i="5"/>
  <c r="I135" i="5" s="1"/>
  <c r="G134" i="5"/>
  <c r="I134" i="5" s="1"/>
  <c r="G133" i="5"/>
  <c r="I133" i="5" s="1"/>
  <c r="G132" i="5"/>
  <c r="I132" i="5" s="1"/>
  <c r="G131" i="5"/>
  <c r="I131" i="5" s="1"/>
  <c r="G130" i="5"/>
  <c r="I130" i="5" s="1"/>
  <c r="G129" i="5"/>
  <c r="I129" i="5" s="1"/>
  <c r="G128" i="5"/>
  <c r="I128" i="5" s="1"/>
  <c r="G127" i="5"/>
  <c r="I127" i="5" s="1"/>
  <c r="G126" i="5"/>
  <c r="I126" i="5" s="1"/>
  <c r="G125" i="5"/>
  <c r="I125" i="5" s="1"/>
  <c r="G124" i="5"/>
  <c r="I124" i="5" s="1"/>
  <c r="G123" i="5"/>
  <c r="I123" i="5" s="1"/>
  <c r="G122" i="5"/>
  <c r="I122" i="5" s="1"/>
  <c r="G121" i="5"/>
  <c r="I121" i="5" s="1"/>
  <c r="G120" i="5"/>
  <c r="I120" i="5" s="1"/>
  <c r="G119" i="5"/>
  <c r="I119" i="5" s="1"/>
  <c r="G118" i="5"/>
  <c r="I118" i="5" s="1"/>
  <c r="G117" i="5"/>
  <c r="I117" i="5" s="1"/>
  <c r="G116" i="5"/>
  <c r="I116" i="5" s="1"/>
  <c r="G115" i="5"/>
  <c r="I115" i="5" s="1"/>
  <c r="G114" i="5"/>
  <c r="I114" i="5" s="1"/>
  <c r="G113" i="5"/>
  <c r="I113" i="5" s="1"/>
  <c r="G112" i="5"/>
  <c r="I112" i="5" s="1"/>
  <c r="G111" i="5"/>
  <c r="I111" i="5" s="1"/>
  <c r="G110" i="5"/>
  <c r="I110" i="5" s="1"/>
  <c r="G109" i="5"/>
  <c r="I109" i="5" s="1"/>
  <c r="G108" i="5"/>
  <c r="I108" i="5" s="1"/>
  <c r="G107" i="5"/>
  <c r="I107" i="5" s="1"/>
  <c r="G106" i="5"/>
  <c r="I106" i="5" s="1"/>
  <c r="G105" i="5"/>
  <c r="I105" i="5" s="1"/>
  <c r="G104" i="5"/>
  <c r="I104" i="5" s="1"/>
  <c r="G103" i="5"/>
  <c r="I103" i="5" s="1"/>
  <c r="G102" i="5"/>
  <c r="I102" i="5" s="1"/>
  <c r="G101" i="5"/>
  <c r="I101" i="5" s="1"/>
  <c r="G100" i="5"/>
  <c r="I100" i="5" s="1"/>
  <c r="G99" i="5"/>
  <c r="I99" i="5" s="1"/>
  <c r="G98" i="5"/>
  <c r="I98" i="5" s="1"/>
  <c r="G97" i="5"/>
  <c r="I97" i="5" s="1"/>
  <c r="G96" i="5"/>
  <c r="I96" i="5" s="1"/>
  <c r="G95" i="5"/>
  <c r="I95" i="5" s="1"/>
  <c r="G94" i="5"/>
  <c r="I94" i="5" s="1"/>
  <c r="G93" i="5"/>
  <c r="I93" i="5" s="1"/>
  <c r="G92" i="5"/>
  <c r="I92" i="5" s="1"/>
  <c r="G91" i="5"/>
  <c r="I91" i="5" s="1"/>
  <c r="G90" i="5"/>
  <c r="I90" i="5" s="1"/>
  <c r="G89" i="5"/>
  <c r="I89" i="5" s="1"/>
  <c r="G88" i="5"/>
  <c r="I88" i="5" s="1"/>
  <c r="G87" i="5"/>
  <c r="I87" i="5" s="1"/>
  <c r="G86" i="5"/>
  <c r="I86" i="5" s="1"/>
  <c r="G85" i="5"/>
  <c r="I85" i="5" s="1"/>
  <c r="G84" i="5"/>
  <c r="I84" i="5" s="1"/>
  <c r="G83" i="5"/>
  <c r="I83" i="5" s="1"/>
  <c r="G82" i="5"/>
  <c r="I82" i="5" s="1"/>
  <c r="G81" i="5"/>
  <c r="I81" i="5" s="1"/>
  <c r="G80" i="5"/>
  <c r="I80" i="5" s="1"/>
  <c r="G79" i="5"/>
  <c r="I79" i="5" s="1"/>
  <c r="G78" i="5"/>
  <c r="I78" i="5" s="1"/>
  <c r="G77" i="5"/>
  <c r="I77" i="5" s="1"/>
  <c r="G76" i="5"/>
  <c r="I76" i="5" s="1"/>
  <c r="G75" i="5"/>
  <c r="I75" i="5" s="1"/>
  <c r="G74" i="5"/>
  <c r="I74" i="5" s="1"/>
  <c r="G73" i="5"/>
  <c r="I73" i="5" s="1"/>
  <c r="G72" i="5"/>
  <c r="I72" i="5" s="1"/>
  <c r="G71" i="5"/>
  <c r="I71" i="5" s="1"/>
  <c r="G70" i="5"/>
  <c r="I70" i="5" s="1"/>
  <c r="G69" i="5"/>
  <c r="I69" i="5" s="1"/>
  <c r="G68" i="5"/>
  <c r="I68" i="5" s="1"/>
  <c r="G67" i="5"/>
  <c r="I67" i="5" s="1"/>
  <c r="G66" i="5"/>
  <c r="I66" i="5" s="1"/>
  <c r="G65" i="5"/>
  <c r="I65" i="5" s="1"/>
  <c r="G64" i="5"/>
  <c r="I64" i="5" s="1"/>
  <c r="G63" i="5"/>
  <c r="I63" i="5" s="1"/>
  <c r="G62" i="5"/>
  <c r="I62" i="5" s="1"/>
  <c r="G61" i="5"/>
  <c r="I61" i="5" s="1"/>
  <c r="G60" i="5"/>
  <c r="I60" i="5" s="1"/>
  <c r="G59" i="5"/>
  <c r="I59" i="5" s="1"/>
  <c r="G58" i="5"/>
  <c r="I58" i="5" s="1"/>
  <c r="G57" i="5"/>
  <c r="I57" i="5" s="1"/>
  <c r="G56" i="5"/>
  <c r="I56" i="5" s="1"/>
  <c r="G55" i="5"/>
  <c r="I55" i="5" s="1"/>
  <c r="G54" i="5"/>
  <c r="I54" i="5" s="1"/>
  <c r="G53" i="5"/>
  <c r="I53" i="5" s="1"/>
  <c r="G52" i="5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I46" i="5" s="1"/>
  <c r="G45" i="5"/>
  <c r="I45" i="5" s="1"/>
  <c r="G44" i="5"/>
  <c r="I44" i="5" s="1"/>
  <c r="G43" i="5"/>
  <c r="I43" i="5" s="1"/>
  <c r="G42" i="5"/>
  <c r="I42" i="5" s="1"/>
  <c r="G41" i="5"/>
  <c r="I41" i="5" s="1"/>
  <c r="G40" i="5"/>
  <c r="I40" i="5" s="1"/>
  <c r="G39" i="5"/>
  <c r="I39" i="5" s="1"/>
  <c r="G38" i="5"/>
  <c r="I38" i="5" s="1"/>
  <c r="G37" i="5"/>
  <c r="I37" i="5" s="1"/>
  <c r="G36" i="5"/>
  <c r="I36" i="5" s="1"/>
  <c r="G35" i="5"/>
  <c r="I35" i="5" s="1"/>
  <c r="G34" i="5"/>
  <c r="I34" i="5" s="1"/>
  <c r="G33" i="5"/>
  <c r="I33" i="5" s="1"/>
  <c r="G32" i="5"/>
  <c r="I32" i="5" s="1"/>
  <c r="G31" i="5"/>
  <c r="I31" i="5" s="1"/>
  <c r="G30" i="5"/>
  <c r="I30" i="5" s="1"/>
  <c r="G29" i="5"/>
  <c r="I29" i="5" s="1"/>
  <c r="G28" i="5"/>
  <c r="I28" i="5" s="1"/>
  <c r="G27" i="5"/>
  <c r="I27" i="5" s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G13" i="5"/>
  <c r="G12" i="5"/>
  <c r="G11" i="5"/>
  <c r="G10" i="5"/>
  <c r="G9" i="5"/>
  <c r="G8" i="5"/>
  <c r="G7" i="5"/>
  <c r="G6" i="5"/>
  <c r="G5" i="5"/>
  <c r="G4" i="5"/>
  <c r="H12" i="6"/>
  <c r="E12" i="6"/>
  <c r="H11" i="6"/>
  <c r="E11" i="6"/>
  <c r="H10" i="6"/>
  <c r="E10" i="6"/>
  <c r="H9" i="6"/>
  <c r="E9" i="6"/>
  <c r="H8" i="6"/>
  <c r="E8" i="6"/>
  <c r="H7" i="6"/>
  <c r="E7" i="6"/>
  <c r="H6" i="6"/>
  <c r="H13" i="6" s="1"/>
  <c r="E6" i="6"/>
  <c r="E13" i="6" s="1"/>
  <c r="F5" i="6"/>
  <c r="F5" i="7"/>
  <c r="H12" i="7"/>
  <c r="H11" i="7"/>
  <c r="H10" i="7"/>
  <c r="H9" i="7"/>
  <c r="H8" i="7"/>
  <c r="H7" i="7"/>
  <c r="H6" i="7"/>
  <c r="H13" i="7" s="1"/>
  <c r="D12" i="7"/>
  <c r="D11" i="7"/>
  <c r="D10" i="7"/>
  <c r="D9" i="7"/>
  <c r="D8" i="7"/>
  <c r="D7" i="7"/>
  <c r="D6" i="7"/>
  <c r="C12" i="7"/>
  <c r="E12" i="7" s="1"/>
  <c r="C11" i="7"/>
  <c r="C10" i="7"/>
  <c r="C9" i="7"/>
  <c r="E9" i="7" s="1"/>
  <c r="C8" i="7"/>
  <c r="E8" i="7" s="1"/>
  <c r="C7" i="7"/>
  <c r="C6" i="7"/>
  <c r="J114" i="5"/>
  <c r="J99" i="5"/>
  <c r="J57" i="5"/>
  <c r="J38" i="5"/>
  <c r="J18" i="5"/>
  <c r="J3" i="5"/>
  <c r="H14" i="5"/>
  <c r="H13" i="5"/>
  <c r="H12" i="5"/>
  <c r="H11" i="5"/>
  <c r="H10" i="5"/>
  <c r="H9" i="5"/>
  <c r="H8" i="5"/>
  <c r="H7" i="5"/>
  <c r="H6" i="5"/>
  <c r="H5" i="5"/>
  <c r="H4" i="5"/>
  <c r="H3" i="5"/>
  <c r="G138" i="5"/>
  <c r="I138" i="5" s="1"/>
  <c r="G3" i="5"/>
  <c r="G9" i="6" l="1"/>
  <c r="G8" i="6"/>
  <c r="G13" i="6" s="1"/>
  <c r="G12" i="6"/>
  <c r="D13" i="6"/>
  <c r="C8" i="4"/>
  <c r="C15" i="2"/>
  <c r="K144" i="5"/>
  <c r="G21" i="7"/>
  <c r="D146" i="5"/>
  <c r="J146" i="5" s="1"/>
  <c r="J145" i="5"/>
  <c r="L38" i="5"/>
  <c r="L114" i="5"/>
  <c r="E7" i="7"/>
  <c r="E11" i="7"/>
  <c r="C13" i="6"/>
  <c r="L183" i="5"/>
  <c r="G71" i="7" s="1"/>
  <c r="G73" i="7" s="1"/>
  <c r="K183" i="5"/>
  <c r="L182" i="5"/>
  <c r="K182" i="5"/>
  <c r="K185" i="5" s="1"/>
  <c r="M161" i="5"/>
  <c r="L174" i="5"/>
  <c r="G59" i="7" s="1"/>
  <c r="G61" i="7" s="1"/>
  <c r="K174" i="5"/>
  <c r="L173" i="5"/>
  <c r="K173" i="5"/>
  <c r="K176" i="5" s="1"/>
  <c r="M162" i="5"/>
  <c r="L164" i="5"/>
  <c r="K164" i="5"/>
  <c r="K165" i="5"/>
  <c r="L165" i="5"/>
  <c r="K155" i="5"/>
  <c r="L155" i="5"/>
  <c r="K156" i="5"/>
  <c r="L156" i="5"/>
  <c r="K18" i="5"/>
  <c r="L99" i="5"/>
  <c r="K99" i="5"/>
  <c r="K114" i="5"/>
  <c r="K38" i="5"/>
  <c r="M38" i="5" s="1"/>
  <c r="F6" i="6"/>
  <c r="F10" i="6"/>
  <c r="L57" i="5"/>
  <c r="K57" i="5"/>
  <c r="E6" i="7"/>
  <c r="B13" i="7"/>
  <c r="E10" i="7"/>
  <c r="L18" i="5"/>
  <c r="F8" i="6"/>
  <c r="F12" i="6"/>
  <c r="C37" i="4"/>
  <c r="C10" i="4" s="1"/>
  <c r="E10" i="4" s="1"/>
  <c r="D26" i="4"/>
  <c r="B13" i="6"/>
  <c r="I4" i="5"/>
  <c r="I8" i="5"/>
  <c r="I12" i="5"/>
  <c r="I5" i="5"/>
  <c r="I9" i="5"/>
  <c r="I13" i="5"/>
  <c r="I6" i="5"/>
  <c r="I10" i="5"/>
  <c r="I14" i="5"/>
  <c r="I7" i="5"/>
  <c r="I11" i="5"/>
  <c r="G139" i="5"/>
  <c r="C13" i="7"/>
  <c r="D115" i="5"/>
  <c r="D100" i="5"/>
  <c r="D58" i="5"/>
  <c r="D39" i="5"/>
  <c r="D19" i="5"/>
  <c r="D4" i="5"/>
  <c r="I3" i="5"/>
  <c r="G10" i="4" l="1"/>
  <c r="C21" i="2"/>
  <c r="D8" i="4"/>
  <c r="K167" i="5"/>
  <c r="G47" i="7"/>
  <c r="L167" i="5"/>
  <c r="K158" i="5"/>
  <c r="M144" i="5"/>
  <c r="M114" i="5"/>
  <c r="E13" i="7"/>
  <c r="L145" i="5"/>
  <c r="K145" i="5"/>
  <c r="K146" i="5"/>
  <c r="L146" i="5"/>
  <c r="F13" i="6"/>
  <c r="L185" i="5"/>
  <c r="L176" i="5"/>
  <c r="M156" i="5"/>
  <c r="M158" i="5" s="1"/>
  <c r="G35" i="7"/>
  <c r="L158" i="5"/>
  <c r="M183" i="5"/>
  <c r="M182" i="5"/>
  <c r="M174" i="5"/>
  <c r="M173" i="5"/>
  <c r="M164" i="5"/>
  <c r="M165" i="5"/>
  <c r="M167" i="5" s="1"/>
  <c r="M155" i="5"/>
  <c r="M57" i="5"/>
  <c r="K3" i="5"/>
  <c r="L3" i="5"/>
  <c r="M18" i="5"/>
  <c r="M99" i="5"/>
  <c r="D59" i="5"/>
  <c r="J58" i="5"/>
  <c r="D5" i="5"/>
  <c r="J4" i="5"/>
  <c r="K4" i="5" s="1"/>
  <c r="D40" i="5"/>
  <c r="J39" i="5"/>
  <c r="I139" i="5"/>
  <c r="D101" i="5"/>
  <c r="J100" i="5"/>
  <c r="D20" i="5"/>
  <c r="J19" i="5"/>
  <c r="D116" i="5"/>
  <c r="J116" i="5" s="1"/>
  <c r="J115" i="5"/>
  <c r="E8" i="4" l="1"/>
  <c r="G8" i="4" s="1"/>
  <c r="M176" i="5"/>
  <c r="K148" i="5"/>
  <c r="G22" i="7"/>
  <c r="M145" i="5"/>
  <c r="M148" i="5" s="1"/>
  <c r="L148" i="5"/>
  <c r="M146" i="5"/>
  <c r="G23" i="7"/>
  <c r="M185" i="5"/>
  <c r="G37" i="7"/>
  <c r="G49" i="7"/>
  <c r="K19" i="5"/>
  <c r="L19" i="5"/>
  <c r="K58" i="5"/>
  <c r="L58" i="5"/>
  <c r="M3" i="5"/>
  <c r="L4" i="5"/>
  <c r="M4" i="5" s="1"/>
  <c r="L39" i="5"/>
  <c r="K39" i="5"/>
  <c r="L115" i="5"/>
  <c r="K115" i="5"/>
  <c r="K100" i="5"/>
  <c r="L100" i="5"/>
  <c r="L116" i="5"/>
  <c r="K116" i="5"/>
  <c r="D41" i="5"/>
  <c r="J40" i="5"/>
  <c r="D21" i="5"/>
  <c r="J20" i="5"/>
  <c r="D6" i="5"/>
  <c r="J5" i="5"/>
  <c r="D102" i="5"/>
  <c r="J101" i="5"/>
  <c r="D60" i="5"/>
  <c r="J59" i="5"/>
  <c r="M115" i="5" l="1"/>
  <c r="M116" i="5"/>
  <c r="M39" i="5"/>
  <c r="M58" i="5"/>
  <c r="L101" i="5"/>
  <c r="K101" i="5"/>
  <c r="L20" i="5"/>
  <c r="K20" i="5"/>
  <c r="M19" i="5"/>
  <c r="L59" i="5"/>
  <c r="K59" i="5"/>
  <c r="L5" i="5"/>
  <c r="K5" i="5"/>
  <c r="L40" i="5"/>
  <c r="K40" i="5"/>
  <c r="M100" i="5"/>
  <c r="D22" i="5"/>
  <c r="J21" i="5"/>
  <c r="D103" i="5"/>
  <c r="J102" i="5"/>
  <c r="D61" i="5"/>
  <c r="J60" i="5"/>
  <c r="D7" i="5"/>
  <c r="J6" i="5"/>
  <c r="D42" i="5"/>
  <c r="J41" i="5"/>
  <c r="D117" i="5"/>
  <c r="M5" i="5" l="1"/>
  <c r="M20" i="5"/>
  <c r="L6" i="5"/>
  <c r="K6" i="5"/>
  <c r="K102" i="5"/>
  <c r="L102" i="5"/>
  <c r="K41" i="5"/>
  <c r="L41" i="5"/>
  <c r="L60" i="5"/>
  <c r="K60" i="5"/>
  <c r="K21" i="5"/>
  <c r="L21" i="5"/>
  <c r="M40" i="5"/>
  <c r="M59" i="5"/>
  <c r="M101" i="5"/>
  <c r="D118" i="5"/>
  <c r="J117" i="5"/>
  <c r="D62" i="5"/>
  <c r="J61" i="5"/>
  <c r="D23" i="5"/>
  <c r="J22" i="5"/>
  <c r="D8" i="5"/>
  <c r="J7" i="5"/>
  <c r="D43" i="5"/>
  <c r="J42" i="5"/>
  <c r="D104" i="5"/>
  <c r="J103" i="5"/>
  <c r="M6" i="5" l="1"/>
  <c r="M41" i="5"/>
  <c r="M102" i="5"/>
  <c r="M21" i="5"/>
  <c r="L103" i="5"/>
  <c r="K103" i="5"/>
  <c r="L7" i="5"/>
  <c r="K7" i="5"/>
  <c r="K61" i="5"/>
  <c r="L61" i="5"/>
  <c r="L42" i="5"/>
  <c r="K42" i="5"/>
  <c r="K22" i="5"/>
  <c r="L22" i="5"/>
  <c r="K117" i="5"/>
  <c r="L117" i="5"/>
  <c r="M60" i="5"/>
  <c r="D44" i="5"/>
  <c r="J43" i="5"/>
  <c r="D24" i="5"/>
  <c r="J23" i="5"/>
  <c r="D63" i="5"/>
  <c r="J62" i="5"/>
  <c r="D105" i="5"/>
  <c r="J104" i="5"/>
  <c r="D9" i="5"/>
  <c r="J8" i="5"/>
  <c r="D119" i="5"/>
  <c r="J118" i="5"/>
  <c r="M22" i="5" l="1"/>
  <c r="M61" i="5"/>
  <c r="M103" i="5"/>
  <c r="M117" i="5"/>
  <c r="K118" i="5"/>
  <c r="L118" i="5"/>
  <c r="L104" i="5"/>
  <c r="K104" i="5"/>
  <c r="L23" i="5"/>
  <c r="K23" i="5"/>
  <c r="M42" i="5"/>
  <c r="M7" i="5"/>
  <c r="L8" i="5"/>
  <c r="K8" i="5"/>
  <c r="L62" i="5"/>
  <c r="K62" i="5"/>
  <c r="K43" i="5"/>
  <c r="L43" i="5"/>
  <c r="D25" i="5"/>
  <c r="J24" i="5"/>
  <c r="D64" i="5"/>
  <c r="J63" i="5"/>
  <c r="D120" i="5"/>
  <c r="J119" i="5"/>
  <c r="D106" i="5"/>
  <c r="J105" i="5"/>
  <c r="D10" i="5"/>
  <c r="J9" i="5"/>
  <c r="D45" i="5"/>
  <c r="J44" i="5"/>
  <c r="M23" i="5" l="1"/>
  <c r="M104" i="5"/>
  <c r="M8" i="5"/>
  <c r="K9" i="5"/>
  <c r="L9" i="5"/>
  <c r="L119" i="5"/>
  <c r="K119" i="5"/>
  <c r="L24" i="5"/>
  <c r="K24" i="5"/>
  <c r="M62" i="5"/>
  <c r="K44" i="5"/>
  <c r="L44" i="5"/>
  <c r="K105" i="5"/>
  <c r="L105" i="5"/>
  <c r="K63" i="5"/>
  <c r="L63" i="5"/>
  <c r="M43" i="5"/>
  <c r="M118" i="5"/>
  <c r="D107" i="5"/>
  <c r="J106" i="5"/>
  <c r="D65" i="5"/>
  <c r="J64" i="5"/>
  <c r="D26" i="5"/>
  <c r="J25" i="5"/>
  <c r="D46" i="5"/>
  <c r="J45" i="5"/>
  <c r="D11" i="5"/>
  <c r="J10" i="5"/>
  <c r="D121" i="5"/>
  <c r="J120" i="5"/>
  <c r="M24" i="5" l="1"/>
  <c r="M105" i="5"/>
  <c r="M119" i="5"/>
  <c r="M9" i="5"/>
  <c r="L45" i="5"/>
  <c r="K45" i="5"/>
  <c r="K120" i="5"/>
  <c r="L120" i="5"/>
  <c r="K64" i="5"/>
  <c r="L64" i="5"/>
  <c r="L10" i="5"/>
  <c r="K10" i="5"/>
  <c r="L25" i="5"/>
  <c r="K25" i="5"/>
  <c r="K106" i="5"/>
  <c r="L106" i="5"/>
  <c r="M63" i="5"/>
  <c r="M44" i="5"/>
  <c r="D66" i="5"/>
  <c r="J65" i="5"/>
  <c r="J121" i="5"/>
  <c r="D47" i="5"/>
  <c r="J46" i="5"/>
  <c r="D12" i="5"/>
  <c r="J11" i="5"/>
  <c r="D27" i="5"/>
  <c r="J26" i="5"/>
  <c r="D108" i="5"/>
  <c r="J107" i="5"/>
  <c r="K107" i="5" l="1"/>
  <c r="L107" i="5"/>
  <c r="K11" i="5"/>
  <c r="L11" i="5"/>
  <c r="M11" i="5" s="1"/>
  <c r="M64" i="5"/>
  <c r="L26" i="5"/>
  <c r="K26" i="5"/>
  <c r="L46" i="5"/>
  <c r="K46" i="5"/>
  <c r="L65" i="5"/>
  <c r="K65" i="5"/>
  <c r="M25" i="5"/>
  <c r="M45" i="5"/>
  <c r="M106" i="5"/>
  <c r="M120" i="5"/>
  <c r="L121" i="5"/>
  <c r="K121" i="5"/>
  <c r="M10" i="5"/>
  <c r="D48" i="5"/>
  <c r="J47" i="5"/>
  <c r="D67" i="5"/>
  <c r="J66" i="5"/>
  <c r="D109" i="5"/>
  <c r="J108" i="5"/>
  <c r="D28" i="5"/>
  <c r="J27" i="5"/>
  <c r="D13" i="5"/>
  <c r="J12" i="5"/>
  <c r="D123" i="5"/>
  <c r="J122" i="5"/>
  <c r="K122" i="5" l="1"/>
  <c r="L122" i="5"/>
  <c r="M122" i="5" s="1"/>
  <c r="L27" i="5"/>
  <c r="K27" i="5"/>
  <c r="L66" i="5"/>
  <c r="K66" i="5"/>
  <c r="M65" i="5"/>
  <c r="M26" i="5"/>
  <c r="M107" i="5"/>
  <c r="L12" i="5"/>
  <c r="M12" i="5" s="1"/>
  <c r="K12" i="5"/>
  <c r="K108" i="5"/>
  <c r="L108" i="5"/>
  <c r="L47" i="5"/>
  <c r="M47" i="5" s="1"/>
  <c r="K47" i="5"/>
  <c r="M121" i="5"/>
  <c r="M46" i="5"/>
  <c r="D124" i="5"/>
  <c r="J123" i="5"/>
  <c r="D29" i="5"/>
  <c r="J28" i="5"/>
  <c r="D68" i="5"/>
  <c r="J67" i="5"/>
  <c r="D14" i="5"/>
  <c r="J13" i="5"/>
  <c r="D110" i="5"/>
  <c r="J109" i="5"/>
  <c r="D49" i="5"/>
  <c r="J48" i="5"/>
  <c r="L109" i="5" l="1"/>
  <c r="K109" i="5"/>
  <c r="L67" i="5"/>
  <c r="K67" i="5"/>
  <c r="L123" i="5"/>
  <c r="K123" i="5"/>
  <c r="M27" i="5"/>
  <c r="L48" i="5"/>
  <c r="M48" i="5" s="1"/>
  <c r="K48" i="5"/>
  <c r="K13" i="5"/>
  <c r="L13" i="5"/>
  <c r="L28" i="5"/>
  <c r="M28" i="5" s="1"/>
  <c r="K28" i="5"/>
  <c r="M108" i="5"/>
  <c r="M66" i="5"/>
  <c r="D50" i="5"/>
  <c r="J49" i="5"/>
  <c r="D30" i="5"/>
  <c r="J29" i="5"/>
  <c r="D15" i="5"/>
  <c r="J14" i="5"/>
  <c r="D111" i="5"/>
  <c r="J110" i="5"/>
  <c r="D69" i="5"/>
  <c r="J68" i="5"/>
  <c r="D125" i="5"/>
  <c r="J124" i="5"/>
  <c r="M13" i="5" l="1"/>
  <c r="L110" i="5"/>
  <c r="K110" i="5"/>
  <c r="L29" i="5"/>
  <c r="K29" i="5"/>
  <c r="M67" i="5"/>
  <c r="L124" i="5"/>
  <c r="K124" i="5"/>
  <c r="K68" i="5"/>
  <c r="L68" i="5"/>
  <c r="M68" i="5" s="1"/>
  <c r="L14" i="5"/>
  <c r="K14" i="5"/>
  <c r="K49" i="5"/>
  <c r="L49" i="5"/>
  <c r="M49" i="5" s="1"/>
  <c r="M123" i="5"/>
  <c r="M109" i="5"/>
  <c r="D31" i="5"/>
  <c r="J30" i="5"/>
  <c r="D70" i="5"/>
  <c r="J69" i="5"/>
  <c r="D16" i="5"/>
  <c r="J15" i="5"/>
  <c r="D126" i="5"/>
  <c r="J125" i="5"/>
  <c r="D112" i="5"/>
  <c r="J111" i="5"/>
  <c r="D51" i="5"/>
  <c r="J50" i="5"/>
  <c r="M29" i="5" l="1"/>
  <c r="K111" i="5"/>
  <c r="L111" i="5"/>
  <c r="K15" i="5"/>
  <c r="L15" i="5"/>
  <c r="L30" i="5"/>
  <c r="K30" i="5"/>
  <c r="M14" i="5"/>
  <c r="K50" i="5"/>
  <c r="L50" i="5"/>
  <c r="M50" i="5" s="1"/>
  <c r="K125" i="5"/>
  <c r="L125" i="5"/>
  <c r="L69" i="5"/>
  <c r="K69" i="5"/>
  <c r="M124" i="5"/>
  <c r="M110" i="5"/>
  <c r="D71" i="5"/>
  <c r="J71" i="5" s="1"/>
  <c r="J70" i="5"/>
  <c r="D52" i="5"/>
  <c r="J51" i="5"/>
  <c r="D127" i="5"/>
  <c r="J126" i="5"/>
  <c r="D113" i="5"/>
  <c r="J113" i="5" s="1"/>
  <c r="J112" i="5"/>
  <c r="D17" i="5"/>
  <c r="J17" i="5" s="1"/>
  <c r="J16" i="5"/>
  <c r="D32" i="5"/>
  <c r="J31" i="5"/>
  <c r="M111" i="5" l="1"/>
  <c r="K31" i="5"/>
  <c r="L31" i="5"/>
  <c r="K113" i="5"/>
  <c r="L113" i="5"/>
  <c r="L112" i="5"/>
  <c r="K112" i="5"/>
  <c r="M125" i="5"/>
  <c r="L16" i="5"/>
  <c r="K16" i="5"/>
  <c r="L70" i="5"/>
  <c r="K70" i="5"/>
  <c r="M30" i="5"/>
  <c r="L51" i="5"/>
  <c r="K51" i="5"/>
  <c r="L126" i="5"/>
  <c r="K126" i="5"/>
  <c r="L17" i="5"/>
  <c r="K17" i="5"/>
  <c r="L71" i="5"/>
  <c r="M71" i="5" s="1"/>
  <c r="K71" i="5"/>
  <c r="M69" i="5"/>
  <c r="M15" i="5"/>
  <c r="D128" i="5"/>
  <c r="J127" i="5"/>
  <c r="J32" i="5"/>
  <c r="D33" i="5"/>
  <c r="J52" i="5"/>
  <c r="D53" i="5"/>
  <c r="M113" i="5" l="1"/>
  <c r="M126" i="5"/>
  <c r="M31" i="5"/>
  <c r="M70" i="5"/>
  <c r="K32" i="5"/>
  <c r="L32" i="5"/>
  <c r="M17" i="5"/>
  <c r="M51" i="5"/>
  <c r="K127" i="5"/>
  <c r="L127" i="5"/>
  <c r="M16" i="5"/>
  <c r="M112" i="5"/>
  <c r="K52" i="5"/>
  <c r="L52" i="5"/>
  <c r="D34" i="5"/>
  <c r="J33" i="5"/>
  <c r="D54" i="5"/>
  <c r="J53" i="5"/>
  <c r="D129" i="5"/>
  <c r="J128" i="5"/>
  <c r="M52" i="5" l="1"/>
  <c r="M32" i="5"/>
  <c r="M127" i="5"/>
  <c r="K53" i="5"/>
  <c r="L53" i="5"/>
  <c r="K128" i="5"/>
  <c r="L128" i="5"/>
  <c r="L33" i="5"/>
  <c r="K33" i="5"/>
  <c r="D130" i="5"/>
  <c r="J129" i="5"/>
  <c r="D35" i="5"/>
  <c r="J34" i="5"/>
  <c r="D55" i="5"/>
  <c r="J54" i="5"/>
  <c r="M128" i="5" l="1"/>
  <c r="M53" i="5"/>
  <c r="M33" i="5"/>
  <c r="L54" i="5"/>
  <c r="M54" i="5" s="1"/>
  <c r="K54" i="5"/>
  <c r="L129" i="5"/>
  <c r="K129" i="5"/>
  <c r="K34" i="5"/>
  <c r="L34" i="5"/>
  <c r="J35" i="5"/>
  <c r="D36" i="5"/>
  <c r="D56" i="5"/>
  <c r="J55" i="5"/>
  <c r="D131" i="5"/>
  <c r="J130" i="5"/>
  <c r="M34" i="5" l="1"/>
  <c r="L35" i="5"/>
  <c r="K35" i="5"/>
  <c r="M129" i="5"/>
  <c r="L55" i="5"/>
  <c r="K55" i="5"/>
  <c r="K130" i="5"/>
  <c r="L130" i="5"/>
  <c r="M130" i="5" s="1"/>
  <c r="D132" i="5"/>
  <c r="J131" i="5"/>
  <c r="D72" i="5"/>
  <c r="J56" i="5"/>
  <c r="D37" i="5"/>
  <c r="J37" i="5" s="1"/>
  <c r="J36" i="5"/>
  <c r="M55" i="5" l="1"/>
  <c r="L37" i="5"/>
  <c r="K37" i="5"/>
  <c r="L36" i="5"/>
  <c r="K36" i="5"/>
  <c r="L131" i="5"/>
  <c r="K131" i="5"/>
  <c r="K56" i="5"/>
  <c r="L56" i="5"/>
  <c r="M35" i="5"/>
  <c r="D73" i="5"/>
  <c r="J72" i="5"/>
  <c r="D133" i="5"/>
  <c r="J132" i="5"/>
  <c r="M56" i="5" l="1"/>
  <c r="M36" i="5"/>
  <c r="K72" i="5"/>
  <c r="L72" i="5"/>
  <c r="M72" i="5" s="1"/>
  <c r="K132" i="5"/>
  <c r="L132" i="5"/>
  <c r="M132" i="5" s="1"/>
  <c r="M131" i="5"/>
  <c r="M37" i="5"/>
  <c r="D134" i="5"/>
  <c r="J133" i="5"/>
  <c r="D74" i="5"/>
  <c r="J73" i="5"/>
  <c r="L133" i="5" l="1"/>
  <c r="K133" i="5"/>
  <c r="K73" i="5"/>
  <c r="L73" i="5"/>
  <c r="D75" i="5"/>
  <c r="J74" i="5"/>
  <c r="D135" i="5"/>
  <c r="J134" i="5"/>
  <c r="M73" i="5" l="1"/>
  <c r="L134" i="5"/>
  <c r="K134" i="5"/>
  <c r="K74" i="5"/>
  <c r="L74" i="5"/>
  <c r="M133" i="5"/>
  <c r="D136" i="5"/>
  <c r="J135" i="5"/>
  <c r="D76" i="5"/>
  <c r="J75" i="5"/>
  <c r="M74" i="5" l="1"/>
  <c r="K135" i="5"/>
  <c r="L135" i="5"/>
  <c r="K75" i="5"/>
  <c r="L75" i="5"/>
  <c r="M134" i="5"/>
  <c r="D77" i="5"/>
  <c r="J76" i="5"/>
  <c r="D137" i="5"/>
  <c r="J136" i="5"/>
  <c r="M135" i="5" l="1"/>
  <c r="M75" i="5"/>
  <c r="K76" i="5"/>
  <c r="L76" i="5"/>
  <c r="L136" i="5"/>
  <c r="K136" i="5"/>
  <c r="D138" i="5"/>
  <c r="J138" i="5" s="1"/>
  <c r="J137" i="5"/>
  <c r="D78" i="5"/>
  <c r="J77" i="5"/>
  <c r="M136" i="5" l="1"/>
  <c r="L77" i="5"/>
  <c r="K77" i="5"/>
  <c r="K137" i="5"/>
  <c r="L137" i="5"/>
  <c r="M76" i="5"/>
  <c r="L138" i="5"/>
  <c r="K138" i="5"/>
  <c r="G9" i="7"/>
  <c r="I8" i="6"/>
  <c r="K8" i="6" s="1"/>
  <c r="B21" i="6" s="1"/>
  <c r="F21" i="6" s="1"/>
  <c r="I21" i="6" s="1"/>
  <c r="K21" i="6" s="1"/>
  <c r="B34" i="6" s="1"/>
  <c r="F34" i="6" s="1"/>
  <c r="I34" i="6" s="1"/>
  <c r="K34" i="6" s="1"/>
  <c r="B47" i="6" s="1"/>
  <c r="I9" i="6"/>
  <c r="K9" i="6" s="1"/>
  <c r="B22" i="6" s="1"/>
  <c r="F22" i="6" s="1"/>
  <c r="I22" i="6" s="1"/>
  <c r="K22" i="6" s="1"/>
  <c r="B35" i="6" s="1"/>
  <c r="F35" i="6" s="1"/>
  <c r="I35" i="6" s="1"/>
  <c r="K35" i="6" s="1"/>
  <c r="B48" i="6" s="1"/>
  <c r="G6" i="7"/>
  <c r="I7" i="6"/>
  <c r="K7" i="6" s="1"/>
  <c r="B20" i="6" s="1"/>
  <c r="F20" i="6" s="1"/>
  <c r="I20" i="6" s="1"/>
  <c r="K20" i="6" s="1"/>
  <c r="B33" i="6" s="1"/>
  <c r="F33" i="6" s="1"/>
  <c r="I33" i="6" s="1"/>
  <c r="K33" i="6" s="1"/>
  <c r="B46" i="6" s="1"/>
  <c r="G8" i="7"/>
  <c r="G7" i="7"/>
  <c r="G12" i="7"/>
  <c r="I12" i="6"/>
  <c r="K12" i="6" s="1"/>
  <c r="B25" i="6" s="1"/>
  <c r="F25" i="6" s="1"/>
  <c r="I25" i="6" s="1"/>
  <c r="K25" i="6" s="1"/>
  <c r="B38" i="6" s="1"/>
  <c r="F38" i="6" s="1"/>
  <c r="I38" i="6" s="1"/>
  <c r="K38" i="6" s="1"/>
  <c r="B51" i="6" s="1"/>
  <c r="D79" i="5"/>
  <c r="J78" i="5"/>
  <c r="F48" i="6" l="1"/>
  <c r="I48" i="6" s="1"/>
  <c r="K48" i="6" s="1"/>
  <c r="B61" i="6" s="1"/>
  <c r="F61" i="6" s="1"/>
  <c r="I61" i="6" s="1"/>
  <c r="K61" i="6" s="1"/>
  <c r="B74" i="6" s="1"/>
  <c r="F74" i="6" s="1"/>
  <c r="I74" i="6" s="1"/>
  <c r="K74" i="6" s="1"/>
  <c r="F47" i="6"/>
  <c r="I47" i="6" s="1"/>
  <c r="K47" i="6" s="1"/>
  <c r="B60" i="6" s="1"/>
  <c r="F60" i="6" s="1"/>
  <c r="I60" i="6" s="1"/>
  <c r="K60" i="6" s="1"/>
  <c r="B73" i="6" s="1"/>
  <c r="F73" i="6" s="1"/>
  <c r="I73" i="6" s="1"/>
  <c r="K73" i="6" s="1"/>
  <c r="F51" i="6"/>
  <c r="I51" i="6" s="1"/>
  <c r="K51" i="6" s="1"/>
  <c r="B64" i="6" s="1"/>
  <c r="F64" i="6" s="1"/>
  <c r="I64" i="6" s="1"/>
  <c r="K64" i="6" s="1"/>
  <c r="B77" i="6" s="1"/>
  <c r="F77" i="6" s="1"/>
  <c r="I77" i="6" s="1"/>
  <c r="K77" i="6" s="1"/>
  <c r="F46" i="6"/>
  <c r="I46" i="6" s="1"/>
  <c r="K46" i="6" s="1"/>
  <c r="B59" i="6" s="1"/>
  <c r="F59" i="6" s="1"/>
  <c r="I59" i="6" s="1"/>
  <c r="K59" i="6" s="1"/>
  <c r="B72" i="6" s="1"/>
  <c r="F72" i="6" s="1"/>
  <c r="I72" i="6" s="1"/>
  <c r="K72" i="6" s="1"/>
  <c r="M138" i="5"/>
  <c r="M77" i="5"/>
  <c r="L78" i="5"/>
  <c r="K78" i="5"/>
  <c r="F9" i="7"/>
  <c r="I9" i="7" s="1"/>
  <c r="J9" i="7" s="1"/>
  <c r="B21" i="7" s="1"/>
  <c r="F7" i="7"/>
  <c r="I7" i="7" s="1"/>
  <c r="J7" i="7" s="1"/>
  <c r="B19" i="7" s="1"/>
  <c r="F8" i="7"/>
  <c r="I8" i="7" s="1"/>
  <c r="J8" i="7" s="1"/>
  <c r="B20" i="7" s="1"/>
  <c r="F6" i="7"/>
  <c r="I6" i="7" s="1"/>
  <c r="J6" i="7" s="1"/>
  <c r="B18" i="7" s="1"/>
  <c r="F18" i="7" s="1"/>
  <c r="F12" i="7"/>
  <c r="I12" i="7" s="1"/>
  <c r="J12" i="7" s="1"/>
  <c r="B24" i="7" s="1"/>
  <c r="M137" i="5"/>
  <c r="I6" i="6"/>
  <c r="D80" i="5"/>
  <c r="J79" i="5"/>
  <c r="E24" i="7" l="1"/>
  <c r="F24" i="7"/>
  <c r="I24" i="7" s="1"/>
  <c r="J24" i="7" s="1"/>
  <c r="B36" i="7" s="1"/>
  <c r="E19" i="7"/>
  <c r="F19" i="7"/>
  <c r="I19" i="7" s="1"/>
  <c r="E20" i="7"/>
  <c r="F20" i="7"/>
  <c r="E21" i="7"/>
  <c r="F21" i="7"/>
  <c r="I21" i="7" s="1"/>
  <c r="M78" i="5"/>
  <c r="K6" i="6"/>
  <c r="B19" i="6" s="1"/>
  <c r="I18" i="7"/>
  <c r="I20" i="7"/>
  <c r="E18" i="7"/>
  <c r="L79" i="5"/>
  <c r="K79" i="5"/>
  <c r="D81" i="5"/>
  <c r="J80" i="5"/>
  <c r="J19" i="7" l="1"/>
  <c r="B31" i="7" s="1"/>
  <c r="J21" i="7"/>
  <c r="B33" i="7" s="1"/>
  <c r="E33" i="7"/>
  <c r="F33" i="7"/>
  <c r="I33" i="7" s="1"/>
  <c r="E31" i="7"/>
  <c r="F31" i="7"/>
  <c r="I31" i="7" s="1"/>
  <c r="E36" i="7"/>
  <c r="F36" i="7"/>
  <c r="I36" i="7" s="1"/>
  <c r="F19" i="6"/>
  <c r="J18" i="7"/>
  <c r="B30" i="7" s="1"/>
  <c r="F30" i="7" s="1"/>
  <c r="L80" i="5"/>
  <c r="K80" i="5"/>
  <c r="M79" i="5"/>
  <c r="J20" i="7"/>
  <c r="B32" i="7" s="1"/>
  <c r="D82" i="5"/>
  <c r="J81" i="5"/>
  <c r="E32" i="7" l="1"/>
  <c r="F32" i="7"/>
  <c r="I32" i="7" s="1"/>
  <c r="J31" i="7"/>
  <c r="B43" i="7" s="1"/>
  <c r="I30" i="7"/>
  <c r="J36" i="7"/>
  <c r="B48" i="7" s="1"/>
  <c r="J33" i="7"/>
  <c r="B45" i="7" s="1"/>
  <c r="I19" i="6"/>
  <c r="E30" i="7"/>
  <c r="L81" i="5"/>
  <c r="K81" i="5"/>
  <c r="M80" i="5"/>
  <c r="D83" i="5"/>
  <c r="J82" i="5"/>
  <c r="E45" i="7" l="1"/>
  <c r="F45" i="7"/>
  <c r="I45" i="7" s="1"/>
  <c r="E43" i="7"/>
  <c r="F43" i="7"/>
  <c r="I43" i="7" s="1"/>
  <c r="E48" i="7"/>
  <c r="F48" i="7"/>
  <c r="I48" i="7" s="1"/>
  <c r="J32" i="7"/>
  <c r="B44" i="7" s="1"/>
  <c r="M81" i="5"/>
  <c r="K19" i="6"/>
  <c r="J30" i="7"/>
  <c r="L82" i="5"/>
  <c r="K82" i="5"/>
  <c r="D84" i="5"/>
  <c r="J83" i="5"/>
  <c r="J43" i="7" l="1"/>
  <c r="B55" i="7" s="1"/>
  <c r="E44" i="7"/>
  <c r="F44" i="7"/>
  <c r="I44" i="7" s="1"/>
  <c r="J48" i="7"/>
  <c r="B60" i="7" s="1"/>
  <c r="J45" i="7"/>
  <c r="B57" i="7" s="1"/>
  <c r="B32" i="6"/>
  <c r="B42" i="7"/>
  <c r="F42" i="7" s="1"/>
  <c r="L83" i="5"/>
  <c r="K83" i="5"/>
  <c r="M82" i="5"/>
  <c r="D85" i="5"/>
  <c r="J84" i="5"/>
  <c r="E60" i="7" l="1"/>
  <c r="F60" i="7"/>
  <c r="I60" i="7" s="1"/>
  <c r="J44" i="7"/>
  <c r="B56" i="7" s="1"/>
  <c r="I42" i="7"/>
  <c r="E57" i="7"/>
  <c r="F57" i="7"/>
  <c r="I57" i="7" s="1"/>
  <c r="E55" i="7"/>
  <c r="F55" i="7"/>
  <c r="I55" i="7" s="1"/>
  <c r="F32" i="6"/>
  <c r="E42" i="7"/>
  <c r="L84" i="5"/>
  <c r="K84" i="5"/>
  <c r="M83" i="5"/>
  <c r="D86" i="5"/>
  <c r="J85" i="5"/>
  <c r="J55" i="7" l="1"/>
  <c r="B67" i="7" s="1"/>
  <c r="E56" i="7"/>
  <c r="F56" i="7"/>
  <c r="I56" i="7" s="1"/>
  <c r="E67" i="7"/>
  <c r="F67" i="7"/>
  <c r="I67" i="7" s="1"/>
  <c r="J57" i="7"/>
  <c r="B69" i="7" s="1"/>
  <c r="J60" i="7"/>
  <c r="B72" i="7" s="1"/>
  <c r="M84" i="5"/>
  <c r="I32" i="6"/>
  <c r="J42" i="7"/>
  <c r="K85" i="5"/>
  <c r="L85" i="5"/>
  <c r="D87" i="5"/>
  <c r="J86" i="5"/>
  <c r="J67" i="7" l="1"/>
  <c r="E72" i="7"/>
  <c r="F72" i="7"/>
  <c r="I72" i="7" s="1"/>
  <c r="E69" i="7"/>
  <c r="J69" i="7" s="1"/>
  <c r="F69" i="7"/>
  <c r="I69" i="7" s="1"/>
  <c r="J56" i="7"/>
  <c r="B68" i="7" s="1"/>
  <c r="M85" i="5"/>
  <c r="K32" i="6"/>
  <c r="B54" i="7"/>
  <c r="F54" i="7" s="1"/>
  <c r="L86" i="5"/>
  <c r="K86" i="5"/>
  <c r="D88" i="5"/>
  <c r="J87" i="5"/>
  <c r="E68" i="7" l="1"/>
  <c r="F68" i="7"/>
  <c r="I68" i="7" s="1"/>
  <c r="J72" i="7"/>
  <c r="I54" i="7"/>
  <c r="B45" i="6"/>
  <c r="E54" i="7"/>
  <c r="L87" i="5"/>
  <c r="K87" i="5"/>
  <c r="M86" i="5"/>
  <c r="D89" i="5"/>
  <c r="J88" i="5"/>
  <c r="J68" i="7" l="1"/>
  <c r="M87" i="5"/>
  <c r="F45" i="6"/>
  <c r="J54" i="7"/>
  <c r="L88" i="5"/>
  <c r="M88" i="5" s="1"/>
  <c r="K88" i="5"/>
  <c r="D90" i="5"/>
  <c r="J89" i="5"/>
  <c r="I45" i="6" l="1"/>
  <c r="B66" i="7"/>
  <c r="F66" i="7" s="1"/>
  <c r="L89" i="5"/>
  <c r="K89" i="5"/>
  <c r="D91" i="5"/>
  <c r="J90" i="5"/>
  <c r="I66" i="7" l="1"/>
  <c r="K45" i="6"/>
  <c r="E66" i="7"/>
  <c r="L90" i="5"/>
  <c r="K90" i="5"/>
  <c r="M89" i="5"/>
  <c r="D92" i="5"/>
  <c r="J91" i="5"/>
  <c r="M90" i="5" l="1"/>
  <c r="B58" i="6"/>
  <c r="J66" i="7"/>
  <c r="L91" i="5"/>
  <c r="K91" i="5"/>
  <c r="D93" i="5"/>
  <c r="J92" i="5"/>
  <c r="F58" i="6" l="1"/>
  <c r="L92" i="5"/>
  <c r="K92" i="5"/>
  <c r="M91" i="5"/>
  <c r="D94" i="5"/>
  <c r="J93" i="5"/>
  <c r="I58" i="6" l="1"/>
  <c r="L93" i="5"/>
  <c r="K93" i="5"/>
  <c r="M92" i="5"/>
  <c r="D95" i="5"/>
  <c r="J94" i="5"/>
  <c r="K58" i="6" l="1"/>
  <c r="K94" i="5"/>
  <c r="L94" i="5"/>
  <c r="M94" i="5" s="1"/>
  <c r="M93" i="5"/>
  <c r="J95" i="5"/>
  <c r="D96" i="5"/>
  <c r="B71" i="6" l="1"/>
  <c r="K95" i="5"/>
  <c r="L95" i="5"/>
  <c r="D97" i="5"/>
  <c r="J96" i="5"/>
  <c r="M95" i="5" l="1"/>
  <c r="F71" i="6"/>
  <c r="K96" i="5"/>
  <c r="L96" i="5"/>
  <c r="D98" i="5"/>
  <c r="J98" i="5" s="1"/>
  <c r="J97" i="5"/>
  <c r="I71" i="6" l="1"/>
  <c r="L98" i="5"/>
  <c r="K98" i="5"/>
  <c r="M96" i="5"/>
  <c r="L97" i="5"/>
  <c r="G11" i="7" s="1"/>
  <c r="K97" i="5"/>
  <c r="F11" i="7"/>
  <c r="L139" i="5"/>
  <c r="G10" i="7"/>
  <c r="I11" i="6"/>
  <c r="K11" i="6" s="1"/>
  <c r="B24" i="6" s="1"/>
  <c r="F24" i="6" s="1"/>
  <c r="I24" i="6" s="1"/>
  <c r="K24" i="6" s="1"/>
  <c r="B37" i="6" s="1"/>
  <c r="F37" i="6" s="1"/>
  <c r="I37" i="6" s="1"/>
  <c r="K37" i="6" s="1"/>
  <c r="B50" i="6" s="1"/>
  <c r="F50" i="6" l="1"/>
  <c r="I50" i="6" s="1"/>
  <c r="K50" i="6" s="1"/>
  <c r="B63" i="6" s="1"/>
  <c r="F63" i="6" s="1"/>
  <c r="I63" i="6" s="1"/>
  <c r="K63" i="6" s="1"/>
  <c r="B76" i="6" s="1"/>
  <c r="F76" i="6" s="1"/>
  <c r="I76" i="6" s="1"/>
  <c r="K76" i="6" s="1"/>
  <c r="K71" i="6"/>
  <c r="K139" i="5"/>
  <c r="F10" i="7"/>
  <c r="F13" i="7" s="1"/>
  <c r="I11" i="7"/>
  <c r="J11" i="7" s="1"/>
  <c r="B23" i="7" s="1"/>
  <c r="M97" i="5"/>
  <c r="M98" i="5"/>
  <c r="G25" i="7"/>
  <c r="I10" i="6"/>
  <c r="G13" i="7"/>
  <c r="E23" i="7" l="1"/>
  <c r="F23" i="7"/>
  <c r="I23" i="7" s="1"/>
  <c r="J23" i="7" s="1"/>
  <c r="B35" i="7" s="1"/>
  <c r="M139" i="5"/>
  <c r="I10" i="7"/>
  <c r="J10" i="7" s="1"/>
  <c r="B22" i="7" s="1"/>
  <c r="F22" i="7" s="1"/>
  <c r="I22" i="7" s="1"/>
  <c r="I25" i="7" s="1"/>
  <c r="E9" i="2" s="1"/>
  <c r="K10" i="6"/>
  <c r="I13" i="6"/>
  <c r="C19" i="2" s="1"/>
  <c r="H5" i="4" l="1"/>
  <c r="F16" i="2"/>
  <c r="E35" i="7"/>
  <c r="F35" i="7"/>
  <c r="I35" i="7" s="1"/>
  <c r="F25" i="7"/>
  <c r="D23" i="2"/>
  <c r="D5" i="4"/>
  <c r="K13" i="6"/>
  <c r="B23" i="6"/>
  <c r="I13" i="7"/>
  <c r="C9" i="2" s="1"/>
  <c r="E22" i="7"/>
  <c r="B25" i="7"/>
  <c r="J13" i="7"/>
  <c r="J35" i="7" l="1"/>
  <c r="B47" i="7" s="1"/>
  <c r="D16" i="2"/>
  <c r="D24" i="2" s="1"/>
  <c r="D26" i="2" s="1"/>
  <c r="D7" i="4" s="1"/>
  <c r="E7" i="4" s="1"/>
  <c r="G7" i="4" s="1"/>
  <c r="C5" i="4"/>
  <c r="E5" i="4"/>
  <c r="G5" i="4" s="1"/>
  <c r="F23" i="6"/>
  <c r="B26" i="6"/>
  <c r="J22" i="7"/>
  <c r="E25" i="7"/>
  <c r="F25" i="2" l="1"/>
  <c r="D28" i="2"/>
  <c r="D32" i="2" s="1"/>
  <c r="D34" i="2" s="1"/>
  <c r="D36" i="2" s="1"/>
  <c r="D37" i="2" s="1"/>
  <c r="E47" i="7"/>
  <c r="F47" i="7"/>
  <c r="I47" i="7" s="1"/>
  <c r="G12" i="4"/>
  <c r="D38" i="2"/>
  <c r="D40" i="2" s="1"/>
  <c r="D42" i="2" s="1"/>
  <c r="I23" i="6"/>
  <c r="F26" i="6"/>
  <c r="J25" i="7"/>
  <c r="B34" i="7"/>
  <c r="F34" i="7" s="1"/>
  <c r="I34" i="7" l="1"/>
  <c r="I37" i="7" s="1"/>
  <c r="G9" i="2" s="1"/>
  <c r="F37" i="7"/>
  <c r="J47" i="7"/>
  <c r="B59" i="7" s="1"/>
  <c r="D43" i="2"/>
  <c r="D13" i="1"/>
  <c r="D5" i="1"/>
  <c r="C4" i="1" s="1"/>
  <c r="C7" i="1"/>
  <c r="C21" i="1" s="1"/>
  <c r="C22" i="1" s="1"/>
  <c r="I26" i="6"/>
  <c r="E19" i="2" s="1"/>
  <c r="K23" i="6"/>
  <c r="E34" i="7"/>
  <c r="B37" i="7"/>
  <c r="E59" i="7" l="1"/>
  <c r="F59" i="7"/>
  <c r="I59" i="7" s="1"/>
  <c r="M5" i="4"/>
  <c r="H16" i="2"/>
  <c r="H37" i="4" s="1"/>
  <c r="H10" i="4" s="1"/>
  <c r="J10" i="4" s="1"/>
  <c r="L10" i="4" s="1"/>
  <c r="I5" i="4"/>
  <c r="J5" i="4" s="1"/>
  <c r="L5" i="4" s="1"/>
  <c r="F23" i="2"/>
  <c r="F24" i="2" s="1"/>
  <c r="F26" i="2" s="1"/>
  <c r="B36" i="6"/>
  <c r="K26" i="6"/>
  <c r="J34" i="7"/>
  <c r="E37" i="7"/>
  <c r="J59" i="7" l="1"/>
  <c r="B71" i="7" s="1"/>
  <c r="I7" i="4"/>
  <c r="J7" i="4" s="1"/>
  <c r="L7" i="4" s="1"/>
  <c r="L12" i="4" s="1"/>
  <c r="F28" i="2"/>
  <c r="F32" i="2" s="1"/>
  <c r="F34" i="2" s="1"/>
  <c r="F36" i="2" s="1"/>
  <c r="F37" i="2" s="1"/>
  <c r="F38" i="2" s="1"/>
  <c r="F40" i="2" s="1"/>
  <c r="H25" i="2"/>
  <c r="F36" i="6"/>
  <c r="B39" i="6"/>
  <c r="B46" i="7"/>
  <c r="F46" i="7" s="1"/>
  <c r="J37" i="7"/>
  <c r="E71" i="7" l="1"/>
  <c r="F71" i="7"/>
  <c r="I71" i="7" s="1"/>
  <c r="I46" i="7"/>
  <c r="I49" i="7" s="1"/>
  <c r="I9" i="2" s="1"/>
  <c r="F49" i="7"/>
  <c r="E12" i="1"/>
  <c r="F42" i="2"/>
  <c r="F43" i="2" s="1"/>
  <c r="F5" i="1"/>
  <c r="E4" i="1" s="1"/>
  <c r="E7" i="1"/>
  <c r="E21" i="1" s="1"/>
  <c r="I36" i="6"/>
  <c r="F39" i="6"/>
  <c r="E46" i="7"/>
  <c r="B49" i="7"/>
  <c r="R5" i="4" l="1"/>
  <c r="J16" i="2"/>
  <c r="J71" i="7"/>
  <c r="F13" i="1"/>
  <c r="E19" i="1"/>
  <c r="E22" i="1" s="1"/>
  <c r="K36" i="6"/>
  <c r="I39" i="6"/>
  <c r="G19" i="2" s="1"/>
  <c r="J46" i="7"/>
  <c r="E49" i="7"/>
  <c r="N5" i="4" l="1"/>
  <c r="O5" i="4" s="1"/>
  <c r="Q5" i="4" s="1"/>
  <c r="H23" i="2"/>
  <c r="H24" i="2" s="1"/>
  <c r="H26" i="2" s="1"/>
  <c r="B49" i="6"/>
  <c r="K39" i="6"/>
  <c r="B58" i="7"/>
  <c r="F58" i="7" s="1"/>
  <c r="J49" i="7"/>
  <c r="I58" i="7" l="1"/>
  <c r="I61" i="7" s="1"/>
  <c r="K9" i="2" s="1"/>
  <c r="F61" i="7"/>
  <c r="N7" i="4"/>
  <c r="O7" i="4" s="1"/>
  <c r="Q7" i="4" s="1"/>
  <c r="Q12" i="4" s="1"/>
  <c r="H28" i="2"/>
  <c r="H32" i="2" s="1"/>
  <c r="H34" i="2" s="1"/>
  <c r="H36" i="2" s="1"/>
  <c r="H37" i="2" s="1"/>
  <c r="H38" i="2" s="1"/>
  <c r="H40" i="2" s="1"/>
  <c r="J25" i="2"/>
  <c r="F49" i="6"/>
  <c r="B52" i="6"/>
  <c r="E58" i="7"/>
  <c r="B61" i="7"/>
  <c r="W5" i="4" l="1"/>
  <c r="L16" i="2"/>
  <c r="G12" i="1"/>
  <c r="H43" i="2"/>
  <c r="H42" i="2"/>
  <c r="G7" i="1"/>
  <c r="G21" i="1" s="1"/>
  <c r="H5" i="1"/>
  <c r="G4" i="1" s="1"/>
  <c r="I49" i="6"/>
  <c r="F52" i="6"/>
  <c r="J58" i="7"/>
  <c r="E61" i="7"/>
  <c r="H13" i="1" l="1"/>
  <c r="G19" i="1"/>
  <c r="G22" i="1"/>
  <c r="I52" i="6"/>
  <c r="I19" i="2" s="1"/>
  <c r="K49" i="6"/>
  <c r="B70" i="7"/>
  <c r="F70" i="7" s="1"/>
  <c r="J61" i="7"/>
  <c r="I70" i="7" l="1"/>
  <c r="I73" i="7" s="1"/>
  <c r="M9" i="2" s="1"/>
  <c r="F73" i="7"/>
  <c r="S5" i="4"/>
  <c r="T5" i="4" s="1"/>
  <c r="V5" i="4" s="1"/>
  <c r="J23" i="2"/>
  <c r="J24" i="2" s="1"/>
  <c r="J26" i="2" s="1"/>
  <c r="B62" i="6"/>
  <c r="K52" i="6"/>
  <c r="E70" i="7"/>
  <c r="B73" i="7"/>
  <c r="N16" i="2" l="1"/>
  <c r="AB5" i="4"/>
  <c r="S7" i="4"/>
  <c r="T7" i="4" s="1"/>
  <c r="V7" i="4" s="1"/>
  <c r="V12" i="4" s="1"/>
  <c r="J28" i="2"/>
  <c r="J32" i="2" s="1"/>
  <c r="J34" i="2" s="1"/>
  <c r="J36" i="2" s="1"/>
  <c r="J37" i="2" s="1"/>
  <c r="J38" i="2" s="1"/>
  <c r="J40" i="2" s="1"/>
  <c r="L25" i="2"/>
  <c r="F62" i="6"/>
  <c r="B65" i="6"/>
  <c r="J70" i="7"/>
  <c r="J73" i="7" s="1"/>
  <c r="E73" i="7"/>
  <c r="I12" i="1" l="1"/>
  <c r="J42" i="2"/>
  <c r="J43" i="2" s="1"/>
  <c r="I7" i="1"/>
  <c r="I21" i="1" s="1"/>
  <c r="J5" i="1"/>
  <c r="I4" i="1" s="1"/>
  <c r="I62" i="6"/>
  <c r="F65" i="6"/>
  <c r="I19" i="1" l="1"/>
  <c r="J13" i="1"/>
  <c r="I22" i="1"/>
  <c r="K62" i="6"/>
  <c r="I65" i="6"/>
  <c r="K19" i="2" s="1"/>
  <c r="X5" i="4" l="1"/>
  <c r="Y5" i="4" s="1"/>
  <c r="AA5" i="4" s="1"/>
  <c r="L23" i="2"/>
  <c r="L24" i="2" s="1"/>
  <c r="L26" i="2" s="1"/>
  <c r="B75" i="6"/>
  <c r="K65" i="6"/>
  <c r="X7" i="4" l="1"/>
  <c r="Y7" i="4" s="1"/>
  <c r="AA7" i="4" s="1"/>
  <c r="AA12" i="4" s="1"/>
  <c r="L28" i="2"/>
  <c r="L32" i="2" s="1"/>
  <c r="L34" i="2" s="1"/>
  <c r="L36" i="2" s="1"/>
  <c r="L37" i="2" s="1"/>
  <c r="L38" i="2" s="1"/>
  <c r="L40" i="2" s="1"/>
  <c r="N25" i="2"/>
  <c r="F75" i="6"/>
  <c r="B78" i="6"/>
  <c r="K12" i="1" l="1"/>
  <c r="L42" i="2"/>
  <c r="L43" i="2"/>
  <c r="L5" i="1"/>
  <c r="K4" i="1" s="1"/>
  <c r="K7" i="1"/>
  <c r="K21" i="1" s="1"/>
  <c r="I75" i="6"/>
  <c r="F78" i="6"/>
  <c r="K19" i="1" l="1"/>
  <c r="L13" i="1"/>
  <c r="K22" i="1"/>
  <c r="K75" i="6"/>
  <c r="K78" i="6" s="1"/>
  <c r="I78" i="6"/>
  <c r="M19" i="2" s="1"/>
  <c r="AC5" i="4" l="1"/>
  <c r="AD5" i="4" s="1"/>
  <c r="AF5" i="4" s="1"/>
  <c r="N23" i="2"/>
  <c r="N24" i="2" s="1"/>
  <c r="N26" i="2" s="1"/>
  <c r="AC7" i="4" l="1"/>
  <c r="AD7" i="4" s="1"/>
  <c r="AF7" i="4" s="1"/>
  <c r="AF12" i="4" s="1"/>
  <c r="N28" i="2"/>
  <c r="N32" i="2" s="1"/>
  <c r="N34" i="2" s="1"/>
  <c r="N36" i="2" s="1"/>
  <c r="N37" i="2" s="1"/>
  <c r="N38" i="2" s="1"/>
  <c r="N40" i="2" s="1"/>
  <c r="M12" i="1" l="1"/>
  <c r="N42" i="2"/>
  <c r="N43" i="2" s="1"/>
  <c r="M7" i="1"/>
  <c r="M21" i="1" s="1"/>
  <c r="N5" i="1"/>
  <c r="M4" i="1" s="1"/>
  <c r="M19" i="1" l="1"/>
  <c r="M22" i="1" s="1"/>
  <c r="N13" i="1"/>
</calcChain>
</file>

<file path=xl/comments1.xml><?xml version="1.0" encoding="utf-8"?>
<comments xmlns="http://schemas.openxmlformats.org/spreadsheetml/2006/main">
  <authors>
    <author>Rameshawar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Rameshawar:</t>
        </r>
        <r>
          <rPr>
            <sz val="9"/>
            <color indexed="81"/>
            <rFont val="Tahoma"/>
            <family val="2"/>
          </rPr>
          <t xml:space="preserve">
Considered Tax rate 30% in case of TO above 50 Cr and Surc taken as 7% considered consi income between 1cr to 10 cr and Cess 4%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Rameshawar:</t>
        </r>
        <r>
          <rPr>
            <sz val="9"/>
            <color indexed="81"/>
            <rFont val="Tahoma"/>
            <family val="2"/>
          </rPr>
          <t xml:space="preserve">
Considered Tax rate 30% in case of TO above 50 Cr and Surc taken as 7% considered consi income between 1cr to 10 cr and Cess 4%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Rameshawar:</t>
        </r>
        <r>
          <rPr>
            <sz val="9"/>
            <color indexed="81"/>
            <rFont val="Tahoma"/>
            <family val="2"/>
          </rPr>
          <t xml:space="preserve">
Considered Tax rate 30% in case of TO above 50 Cr and Surc taken as 7% considered consi income between 1cr to 10 cr and Cess 4%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Rameshawar:</t>
        </r>
        <r>
          <rPr>
            <sz val="9"/>
            <color indexed="81"/>
            <rFont val="Tahoma"/>
            <family val="2"/>
          </rPr>
          <t xml:space="preserve">
Considered Tax rate 30% in case of TO above 50 Cr and Surc taken as 7% considered consi income between 1cr to 10 cr and Cess 4%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Rameshawar:</t>
        </r>
        <r>
          <rPr>
            <sz val="9"/>
            <color indexed="81"/>
            <rFont val="Tahoma"/>
            <family val="2"/>
          </rPr>
          <t xml:space="preserve">
Considered Tax rate 30% in case of TO above 50 Cr and Surc taken as 7% considered consi income between 1cr to 10 cr and Cess 4%</t>
        </r>
      </text>
    </comment>
    <comment ref="AE5" authorId="0" shapeId="0">
      <text>
        <r>
          <rPr>
            <b/>
            <sz val="9"/>
            <color indexed="81"/>
            <rFont val="Tahoma"/>
            <family val="2"/>
          </rPr>
          <t>Rameshawar:</t>
        </r>
        <r>
          <rPr>
            <sz val="9"/>
            <color indexed="81"/>
            <rFont val="Tahoma"/>
            <family val="2"/>
          </rPr>
          <t xml:space="preserve">
Considered Tax rate 30% in case of TO above 50 Cr and Surc taken as 7% considered consi income between 1cr to 10 cr and Cess 4%</t>
        </r>
      </text>
    </comment>
  </commentList>
</comments>
</file>

<file path=xl/sharedStrings.xml><?xml version="1.0" encoding="utf-8"?>
<sst xmlns="http://schemas.openxmlformats.org/spreadsheetml/2006/main" count="1133" uniqueCount="193">
  <si>
    <t>Asset No.</t>
  </si>
  <si>
    <t>Asset Name</t>
  </si>
  <si>
    <t>Asset Group</t>
  </si>
  <si>
    <t>date of Acquisition</t>
  </si>
  <si>
    <t>Salvage Value</t>
  </si>
  <si>
    <t>% Depreciation</t>
  </si>
  <si>
    <t>Depe Amount</t>
  </si>
  <si>
    <t>WDV</t>
  </si>
  <si>
    <t>Acquisition value</t>
  </si>
  <si>
    <t>Opening values</t>
  </si>
  <si>
    <t>Building</t>
  </si>
  <si>
    <t>Plant and Machinery</t>
  </si>
  <si>
    <t>Furniture and Fitting</t>
  </si>
  <si>
    <t>Motor Vehicle</t>
  </si>
  <si>
    <t>Office Equipment</t>
  </si>
  <si>
    <t>Computer and Data processing Units</t>
  </si>
  <si>
    <t>Electrical Installation</t>
  </si>
  <si>
    <t>Life of Assets</t>
  </si>
  <si>
    <t>Depreciation days</t>
  </si>
  <si>
    <t>Particular</t>
  </si>
  <si>
    <t>Addition</t>
  </si>
  <si>
    <t>Depreciation</t>
  </si>
  <si>
    <t>Opening</t>
  </si>
  <si>
    <t>Deletion</t>
  </si>
  <si>
    <t>Nett</t>
  </si>
  <si>
    <t>01.04.2017</t>
  </si>
  <si>
    <t>31.03.2018</t>
  </si>
  <si>
    <t>ABCL</t>
  </si>
  <si>
    <t>For the period 01 April 2017 to 31 March 2018</t>
  </si>
  <si>
    <t>Addition post 02 Oct 2017</t>
  </si>
  <si>
    <t>Opening Value</t>
  </si>
  <si>
    <t>Addition pre 02 Oct 2017</t>
  </si>
  <si>
    <t>Opening Depe Amount</t>
  </si>
  <si>
    <t>Pre 02 Oct</t>
  </si>
  <si>
    <t>Post 02 Oct</t>
  </si>
  <si>
    <t xml:space="preserve">Rate of </t>
  </si>
  <si>
    <t>Depn</t>
  </si>
  <si>
    <t>Deferred Tax</t>
  </si>
  <si>
    <t>Particulars</t>
  </si>
  <si>
    <t>Books</t>
  </si>
  <si>
    <t xml:space="preserve">IT </t>
  </si>
  <si>
    <t>Fixed Assets</t>
  </si>
  <si>
    <t>Tax rate</t>
  </si>
  <si>
    <t>Amount</t>
  </si>
  <si>
    <t>Profit/(Loss) as per P&amp;L A/c</t>
  </si>
  <si>
    <t xml:space="preserve">Add </t>
  </si>
  <si>
    <t>Disallowances Considered seperately under IT. Act.</t>
  </si>
  <si>
    <t xml:space="preserve">Depreciation as per Books </t>
  </si>
  <si>
    <t xml:space="preserve">Loss on sale of assets </t>
  </si>
  <si>
    <t>Amortised cost of programmes</t>
  </si>
  <si>
    <t xml:space="preserve">allowed in earlier year </t>
  </si>
  <si>
    <t>Expenditure of Capital Nature</t>
  </si>
  <si>
    <t xml:space="preserve">Less </t>
  </si>
  <si>
    <t>Allowance under the Income Tax Act / Considered Seperately</t>
  </si>
  <si>
    <t xml:space="preserve">Depreciation as per I T Act </t>
  </si>
  <si>
    <t>Less</t>
  </si>
  <si>
    <t>Unabsorbed Loss brought forward from previous years</t>
  </si>
  <si>
    <t>BUSINESS INCOME C/F. FOR SETOFF IN NEXT A.Y</t>
  </si>
  <si>
    <t xml:space="preserve"> TOTAL INCOME</t>
  </si>
  <si>
    <t>Deduction U/ch. VI A</t>
  </si>
  <si>
    <t>TOTAL INCOME</t>
  </si>
  <si>
    <t>TAX ON BUSINESS INCOME @ 30%</t>
  </si>
  <si>
    <t>Add</t>
  </si>
  <si>
    <t>Assumptions</t>
  </si>
  <si>
    <t xml:space="preserve"> - Programming cost have been claimed at 100%. i.e. no inventorisation considered </t>
  </si>
  <si>
    <t>Expenses Allowed only on Payment</t>
  </si>
  <si>
    <t>Charged to Books</t>
  </si>
  <si>
    <t>Paid Before due date</t>
  </si>
  <si>
    <t>Section 43/B of Income Tax Act,1961</t>
  </si>
  <si>
    <t>a</t>
  </si>
  <si>
    <t>Any sum Payable as Cess, Tax, Duty</t>
  </si>
  <si>
    <t>b</t>
  </si>
  <si>
    <t>Contribution to P.F.</t>
  </si>
  <si>
    <t xml:space="preserve">                      Gratuity</t>
  </si>
  <si>
    <t>c</t>
  </si>
  <si>
    <t>Bonus</t>
  </si>
  <si>
    <t>d</t>
  </si>
  <si>
    <t>Interest on loan from Public Financial Inst.</t>
  </si>
  <si>
    <t>e</t>
  </si>
  <si>
    <t>f</t>
  </si>
  <si>
    <t>Total</t>
  </si>
  <si>
    <t>Expenses disallowed in Income Tax Return</t>
  </si>
  <si>
    <t>Expense u/s 37</t>
  </si>
  <si>
    <t>Personal Expenses</t>
  </si>
  <si>
    <t>Prior Period Expenses</t>
  </si>
  <si>
    <t>Penalties</t>
  </si>
  <si>
    <t xml:space="preserve">Capital Expenditure </t>
  </si>
  <si>
    <t>Other Effects</t>
  </si>
  <si>
    <t>Provision for Doubtful debts</t>
  </si>
  <si>
    <t>Education Cess  &amp; Higher Secondary Education cess @ 4 %</t>
  </si>
  <si>
    <t>Interest on term loan from Co-operative Bank</t>
  </si>
  <si>
    <t>Sum Payable by employer in lieu of leave at the credit of employee</t>
  </si>
  <si>
    <t>As per IT disallowed</t>
  </si>
  <si>
    <t>Carried Forward Business Loss &amp; Unabsorbed Depreciation</t>
  </si>
  <si>
    <t>Dividend income exempt u/s. 10</t>
  </si>
  <si>
    <t xml:space="preserve">Amortised cost </t>
  </si>
  <si>
    <t xml:space="preserve"> </t>
  </si>
  <si>
    <t>Net Profit as per Profit and Loss Account</t>
  </si>
  <si>
    <t>Add: Amount Debited to the Profit &amp; Loss Account</t>
  </si>
  <si>
    <t>Income Tax (Paid or payable)</t>
  </si>
  <si>
    <t>Dividend Distribution Tax</t>
  </si>
  <si>
    <t>Amount transferred to any reserve</t>
  </si>
  <si>
    <t>Provision for uncertain liabilities</t>
  </si>
  <si>
    <t>Dividend Paid or Proposed</t>
  </si>
  <si>
    <t>Expenses relating to income covered u/s 10 [other than sec.10(38)], 11 &amp; 12</t>
  </si>
  <si>
    <t>Deferred Tax (If debited)</t>
  </si>
  <si>
    <t>Provision for diminution in the value of any asset</t>
  </si>
  <si>
    <t>Less: Amount Credited to the Profit &amp; Loss Account</t>
  </si>
  <si>
    <t>Amount withdrawn from Reserve</t>
  </si>
  <si>
    <t>Income covered u/s 10 [other than sec.10(38)], 11 &amp; 12</t>
  </si>
  <si>
    <t>Amount of depreciation excluding depreciation on revaluation of assets</t>
  </si>
  <si>
    <t>Amount withdrawn from Revaluation Reserve</t>
  </si>
  <si>
    <t>Brought forward Depreciation (As per books of account)</t>
  </si>
  <si>
    <t>Brought forward Loss excluding depreciation (As per books of account)</t>
  </si>
  <si>
    <t>Deferred Tax (If credited)</t>
  </si>
  <si>
    <t>Profit of sick industry company</t>
  </si>
  <si>
    <t>Book Profit u/s 115JB</t>
  </si>
  <si>
    <t>(B)</t>
  </si>
  <si>
    <t>Provision for leave encashment, Bonus, Gratuity, 43B item</t>
  </si>
  <si>
    <t>Expenditure of Personal Nature</t>
  </si>
  <si>
    <t>Allowed on Payment Basis - 43B</t>
  </si>
  <si>
    <t>MAT Tax Payable</t>
  </si>
  <si>
    <t>Diff</t>
  </si>
  <si>
    <t>Tax Amt</t>
  </si>
  <si>
    <t>COTI Mar 31, 2018</t>
  </si>
  <si>
    <t>Tax Computation</t>
  </si>
  <si>
    <t>SURCHARGE @ 0% income 1 Cr to 10 Cr hence</t>
  </si>
  <si>
    <t xml:space="preserve">For the period </t>
  </si>
  <si>
    <t>01.04.2018</t>
  </si>
  <si>
    <t>31.03.2019</t>
  </si>
  <si>
    <t>01.04.2019</t>
  </si>
  <si>
    <t>31.03.2020</t>
  </si>
  <si>
    <t>01.04.2020</t>
  </si>
  <si>
    <t>31.03.2021</t>
  </si>
  <si>
    <t>01.04.2021</t>
  </si>
  <si>
    <t>31.03.2022</t>
  </si>
  <si>
    <t>01.04.2022</t>
  </si>
  <si>
    <t>01.04.2023</t>
  </si>
  <si>
    <t>For the period 01 April to 31 March</t>
  </si>
  <si>
    <t>31.03.2023</t>
  </si>
  <si>
    <t>31 Mar 2018</t>
  </si>
  <si>
    <t>31 Mar 2019</t>
  </si>
  <si>
    <t>31 Mar 2020</t>
  </si>
  <si>
    <t>31 Mar 2021</t>
  </si>
  <si>
    <t>31 Mar 2022</t>
  </si>
  <si>
    <t>31 Mar 2023</t>
  </si>
  <si>
    <t>COTI Mar 31, 2019</t>
  </si>
  <si>
    <t>COTI Mar 31, 2020</t>
  </si>
  <si>
    <t>COTI Mar 31, 2021</t>
  </si>
  <si>
    <t>COTI Mar 31, 2022</t>
  </si>
  <si>
    <t>COTI Mar 31, 2023</t>
  </si>
  <si>
    <t>Tax Payable</t>
  </si>
  <si>
    <t>MAT</t>
  </si>
  <si>
    <t>Higher</t>
  </si>
  <si>
    <t>MAT Credit</t>
  </si>
  <si>
    <t>S</t>
  </si>
  <si>
    <t>Expenses Allowed u/s 35D</t>
  </si>
  <si>
    <t>DTA / (DTL)</t>
  </si>
  <si>
    <t>FY 17-18</t>
  </si>
  <si>
    <t>FY 18-19</t>
  </si>
  <si>
    <t>FY 19-20</t>
  </si>
  <si>
    <t>FY 20-21</t>
  </si>
  <si>
    <t>FY 21-22</t>
  </si>
  <si>
    <t>FY 22-23</t>
  </si>
  <si>
    <t>Sr. No</t>
  </si>
  <si>
    <t>2017-18</t>
  </si>
  <si>
    <t>2018-19</t>
  </si>
  <si>
    <t>2019-20</t>
  </si>
  <si>
    <t>2020-21</t>
  </si>
  <si>
    <t>2021-22</t>
  </si>
  <si>
    <t>2022-23</t>
  </si>
  <si>
    <t>35D expense</t>
  </si>
  <si>
    <t>To Provision for Taxation (Balance Sheet)</t>
  </si>
  <si>
    <t>Profit and Loss Account</t>
  </si>
  <si>
    <t>Current Tax</t>
  </si>
  <si>
    <t>Less : MAT Credit</t>
  </si>
  <si>
    <t>MAT Expenses / Current Tax (P&amp;L A/c)</t>
  </si>
  <si>
    <t>MAT Credit Entitlement (B/S)</t>
  </si>
  <si>
    <t>MAT Expenses (P&amp;L A/c)</t>
  </si>
  <si>
    <t>Deferred Tax Liabilities Account (B/S)</t>
  </si>
  <si>
    <t>Deferred Tax Expense (P&amp;L A/c)</t>
  </si>
  <si>
    <t>Deferred Tax Assets Account (B/S)</t>
  </si>
  <si>
    <t>SCHEME OF ENTRIES :-</t>
  </si>
  <si>
    <t>Addition pre 02 Oct 2018</t>
  </si>
  <si>
    <t>Addition post 02 Oct 2018</t>
  </si>
  <si>
    <t>Addition pre 02 Oct 2019</t>
  </si>
  <si>
    <t>Addition post 02 Oct 2019</t>
  </si>
  <si>
    <t>Addition pre 02 Oct 2020</t>
  </si>
  <si>
    <t>Addition post 02 Oct 2020</t>
  </si>
  <si>
    <t>Addition pre 02 Oct 2021</t>
  </si>
  <si>
    <t>Addition post 02 Oct 2021</t>
  </si>
  <si>
    <t>Addition pre 02 Oct 2022</t>
  </si>
  <si>
    <t>Addition post 02 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</si>
</sst>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[$-409]d\-mmm\-yy;@"/>
    <numFmt numFmtId="167" formatCode="_-* #,##0.00_-;\-* #,##0.00_-;_-* &quot;-&quot;??_-;_-@_-"/>
    <numFmt numFmtId="168" formatCode="_(* #,##0_);_(* \(#,##0\);_(* &quot;-&quot;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sz val="8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sz val="8"/>
      <color indexed="12"/>
      <name val="Verdana"/>
      <family val="2"/>
    </font>
    <font>
      <u/>
      <sz val="8"/>
      <name val="Verdana"/>
      <family val="2"/>
    </font>
    <font>
      <sz val="8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/>
    <xf numFmtId="165" fontId="2" fillId="0" borderId="0" xfId="1" applyNumberFormat="1" applyFont="1"/>
    <xf numFmtId="166" fontId="2" fillId="0" borderId="0" xfId="1" applyNumberFormat="1" applyFont="1"/>
    <xf numFmtId="165" fontId="2" fillId="0" borderId="2" xfId="1" applyNumberFormat="1" applyFont="1" applyBorder="1" applyAlignment="1">
      <alignment horizontal="center" vertical="top" wrapText="1"/>
    </xf>
    <xf numFmtId="165" fontId="2" fillId="0" borderId="3" xfId="1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165" fontId="2" fillId="0" borderId="0" xfId="1" applyNumberFormat="1" applyFont="1" applyBorder="1"/>
    <xf numFmtId="165" fontId="2" fillId="0" borderId="0" xfId="1" applyNumberFormat="1" applyFont="1" applyBorder="1" applyAlignment="1">
      <alignment horizontal="center" vertical="top" wrapText="1"/>
    </xf>
    <xf numFmtId="165" fontId="2" fillId="0" borderId="4" xfId="1" applyNumberFormat="1" applyFont="1" applyBorder="1" applyAlignment="1">
      <alignment horizontal="center" vertical="top" wrapText="1"/>
    </xf>
    <xf numFmtId="165" fontId="2" fillId="0" borderId="5" xfId="1" applyNumberFormat="1" applyFont="1" applyBorder="1"/>
    <xf numFmtId="166" fontId="2" fillId="0" borderId="0" xfId="1" applyNumberFormat="1" applyFont="1" applyBorder="1"/>
    <xf numFmtId="43" fontId="2" fillId="0" borderId="0" xfId="1" applyNumberFormat="1" applyFont="1" applyBorder="1"/>
    <xf numFmtId="165" fontId="2" fillId="0" borderId="6" xfId="1" applyNumberFormat="1" applyFont="1" applyBorder="1"/>
    <xf numFmtId="165" fontId="2" fillId="0" borderId="7" xfId="1" applyNumberFormat="1" applyFont="1" applyBorder="1"/>
    <xf numFmtId="165" fontId="2" fillId="0" borderId="8" xfId="1" applyNumberFormat="1" applyFont="1" applyBorder="1"/>
    <xf numFmtId="166" fontId="2" fillId="0" borderId="8" xfId="1" applyNumberFormat="1" applyFont="1" applyBorder="1"/>
    <xf numFmtId="43" fontId="2" fillId="0" borderId="8" xfId="1" applyNumberFormat="1" applyFont="1" applyBorder="1"/>
    <xf numFmtId="165" fontId="2" fillId="0" borderId="9" xfId="1" applyNumberFormat="1" applyFont="1" applyBorder="1"/>
    <xf numFmtId="165" fontId="3" fillId="0" borderId="1" xfId="1" applyNumberFormat="1" applyFont="1" applyBorder="1"/>
    <xf numFmtId="165" fontId="2" fillId="0" borderId="0" xfId="0" applyNumberFormat="1" applyFont="1"/>
    <xf numFmtId="0" fontId="2" fillId="0" borderId="10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7" xfId="0" applyFont="1" applyBorder="1"/>
    <xf numFmtId="165" fontId="2" fillId="0" borderId="10" xfId="1" applyNumberFormat="1" applyFont="1" applyBorder="1"/>
    <xf numFmtId="164" fontId="2" fillId="0" borderId="10" xfId="1" applyNumberFormat="1" applyFont="1" applyBorder="1"/>
    <xf numFmtId="164" fontId="2" fillId="0" borderId="5" xfId="1" applyNumberFormat="1" applyFont="1" applyBorder="1"/>
    <xf numFmtId="165" fontId="2" fillId="0" borderId="13" xfId="0" applyNumberFormat="1" applyFont="1" applyBorder="1"/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0" borderId="14" xfId="1" applyNumberFormat="1" applyFont="1" applyBorder="1"/>
    <xf numFmtId="0" fontId="3" fillId="0" borderId="0" xfId="0" applyFont="1"/>
    <xf numFmtId="0" fontId="3" fillId="0" borderId="10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65" fontId="3" fillId="0" borderId="1" xfId="0" applyNumberFormat="1" applyFont="1" applyBorder="1"/>
    <xf numFmtId="165" fontId="3" fillId="0" borderId="1" xfId="1" applyNumberFormat="1" applyFont="1" applyBorder="1" applyAlignment="1">
      <alignment horizontal="center" vertical="top" wrapText="1"/>
    </xf>
    <xf numFmtId="165" fontId="3" fillId="0" borderId="2" xfId="1" applyNumberFormat="1" applyFont="1" applyBorder="1" applyAlignment="1">
      <alignment horizontal="center" vertical="top" wrapText="1"/>
    </xf>
    <xf numFmtId="165" fontId="3" fillId="0" borderId="3" xfId="1" applyNumberFormat="1" applyFont="1" applyBorder="1" applyAlignment="1">
      <alignment horizontal="center" vertical="top" wrapText="1"/>
    </xf>
    <xf numFmtId="164" fontId="2" fillId="0" borderId="7" xfId="1" applyNumberFormat="1" applyFont="1" applyBorder="1"/>
    <xf numFmtId="165" fontId="3" fillId="0" borderId="15" xfId="0" applyNumberFormat="1" applyFont="1" applyBorder="1"/>
    <xf numFmtId="165" fontId="2" fillId="0" borderId="15" xfId="1" applyNumberFormat="1" applyFont="1" applyBorder="1"/>
    <xf numFmtId="0" fontId="3" fillId="0" borderId="11" xfId="0" applyFont="1" applyBorder="1" applyAlignment="1">
      <alignment horizontal="center" vertical="top"/>
    </xf>
    <xf numFmtId="9" fontId="2" fillId="0" borderId="10" xfId="0" applyNumberFormat="1" applyFont="1" applyBorder="1"/>
    <xf numFmtId="9" fontId="2" fillId="0" borderId="5" xfId="0" applyNumberFormat="1" applyFont="1" applyBorder="1"/>
    <xf numFmtId="1" fontId="7" fillId="0" borderId="10" xfId="3" applyNumberFormat="1" applyFont="1" applyFill="1" applyBorder="1"/>
    <xf numFmtId="165" fontId="7" fillId="0" borderId="11" xfId="3" applyNumberFormat="1" applyFont="1" applyFill="1" applyBorder="1"/>
    <xf numFmtId="165" fontId="7" fillId="0" borderId="11" xfId="4" applyNumberFormat="1" applyFont="1" applyFill="1" applyBorder="1"/>
    <xf numFmtId="1" fontId="7" fillId="0" borderId="12" xfId="3" applyNumberFormat="1" applyFont="1" applyFill="1" applyBorder="1"/>
    <xf numFmtId="1" fontId="7" fillId="0" borderId="0" xfId="3" applyNumberFormat="1" applyFont="1" applyFill="1"/>
    <xf numFmtId="1" fontId="7" fillId="0" borderId="0" xfId="3" applyNumberFormat="1" applyFont="1" applyFill="1" applyBorder="1"/>
    <xf numFmtId="165" fontId="7" fillId="0" borderId="0" xfId="3" applyNumberFormat="1" applyFont="1" applyFill="1" applyBorder="1"/>
    <xf numFmtId="165" fontId="7" fillId="0" borderId="0" xfId="4" applyNumberFormat="1" applyFont="1" applyFill="1" applyBorder="1"/>
    <xf numFmtId="1" fontId="9" fillId="0" borderId="0" xfId="3" applyNumberFormat="1" applyFont="1" applyFill="1" applyBorder="1"/>
    <xf numFmtId="165" fontId="7" fillId="0" borderId="0" xfId="3" quotePrefix="1" applyNumberFormat="1" applyFont="1" applyFill="1" applyBorder="1"/>
    <xf numFmtId="165" fontId="10" fillId="0" borderId="0" xfId="4" applyNumberFormat="1" applyFont="1" applyFill="1" applyBorder="1"/>
    <xf numFmtId="165" fontId="10" fillId="0" borderId="16" xfId="4" applyNumberFormat="1" applyFont="1" applyFill="1" applyBorder="1"/>
    <xf numFmtId="165" fontId="7" fillId="0" borderId="16" xfId="4" applyNumberFormat="1" applyFont="1" applyFill="1" applyBorder="1"/>
    <xf numFmtId="165" fontId="7" fillId="0" borderId="8" xfId="4" applyNumberFormat="1" applyFont="1" applyFill="1" applyBorder="1"/>
    <xf numFmtId="165" fontId="9" fillId="0" borderId="0" xfId="3" applyNumberFormat="1" applyFont="1" applyFill="1" applyBorder="1"/>
    <xf numFmtId="165" fontId="9" fillId="0" borderId="0" xfId="4" applyNumberFormat="1" applyFont="1" applyFill="1" applyBorder="1"/>
    <xf numFmtId="1" fontId="7" fillId="0" borderId="7" xfId="3" applyNumberFormat="1" applyFont="1" applyFill="1" applyBorder="1"/>
    <xf numFmtId="1" fontId="7" fillId="0" borderId="9" xfId="3" applyNumberFormat="1" applyFont="1" applyFill="1" applyBorder="1"/>
    <xf numFmtId="1" fontId="7" fillId="0" borderId="0" xfId="3" quotePrefix="1" applyNumberFormat="1" applyFont="1" applyFill="1" applyBorder="1"/>
    <xf numFmtId="43" fontId="7" fillId="0" borderId="0" xfId="4" applyNumberFormat="1" applyFont="1" applyFill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7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43" fontId="7" fillId="0" borderId="0" xfId="0" applyNumberFormat="1" applyFont="1" applyFill="1"/>
    <xf numFmtId="0" fontId="7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11" fillId="0" borderId="0" xfId="0" applyFont="1" applyFill="1" applyBorder="1"/>
    <xf numFmtId="0" fontId="7" fillId="0" borderId="0" xfId="0" applyFont="1" applyFill="1" applyBorder="1" applyAlignment="1">
      <alignment wrapText="1"/>
    </xf>
    <xf numFmtId="165" fontId="7" fillId="0" borderId="0" xfId="0" applyNumberFormat="1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/>
    <xf numFmtId="43" fontId="7" fillId="0" borderId="11" xfId="0" applyNumberFormat="1" applyFont="1" applyFill="1" applyBorder="1"/>
    <xf numFmtId="43" fontId="7" fillId="0" borderId="12" xfId="0" applyNumberFormat="1" applyFont="1" applyFill="1" applyBorder="1"/>
    <xf numFmtId="0" fontId="9" fillId="0" borderId="5" xfId="0" applyFont="1" applyFill="1" applyBorder="1"/>
    <xf numFmtId="43" fontId="7" fillId="0" borderId="6" xfId="0" applyNumberFormat="1" applyFont="1" applyFill="1" applyBorder="1"/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/>
    <xf numFmtId="43" fontId="7" fillId="0" borderId="9" xfId="0" applyNumberFormat="1" applyFont="1" applyFill="1" applyBorder="1"/>
    <xf numFmtId="0" fontId="7" fillId="0" borderId="0" xfId="0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6" xfId="1" applyNumberFormat="1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9" xfId="0" applyFont="1" applyBorder="1"/>
    <xf numFmtId="0" fontId="9" fillId="0" borderId="8" xfId="0" applyFont="1" applyFill="1" applyBorder="1"/>
    <xf numFmtId="165" fontId="9" fillId="0" borderId="8" xfId="0" applyNumberFormat="1" applyFont="1" applyFill="1" applyBorder="1"/>
    <xf numFmtId="43" fontId="9" fillId="0" borderId="9" xfId="0" applyNumberFormat="1" applyFont="1" applyFill="1" applyBorder="1"/>
    <xf numFmtId="43" fontId="9" fillId="0" borderId="11" xfId="0" applyNumberFormat="1" applyFont="1" applyFill="1" applyBorder="1" applyAlignment="1">
      <alignment horizontal="center" vertical="top" wrapText="1"/>
    </xf>
    <xf numFmtId="43" fontId="9" fillId="0" borderId="12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/>
    </xf>
    <xf numFmtId="165" fontId="9" fillId="0" borderId="0" xfId="0" applyNumberFormat="1" applyFont="1" applyFill="1" applyBorder="1"/>
    <xf numFmtId="165" fontId="7" fillId="0" borderId="6" xfId="0" applyNumberFormat="1" applyFont="1" applyFill="1" applyBorder="1"/>
    <xf numFmtId="165" fontId="9" fillId="0" borderId="6" xfId="0" applyNumberFormat="1" applyFont="1" applyFill="1" applyBorder="1"/>
    <xf numFmtId="43" fontId="7" fillId="0" borderId="6" xfId="0" applyNumberFormat="1" applyFont="1" applyFill="1" applyBorder="1" applyAlignment="1">
      <alignment wrapText="1"/>
    </xf>
    <xf numFmtId="43" fontId="7" fillId="0" borderId="16" xfId="0" applyNumberFormat="1" applyFont="1" applyFill="1" applyBorder="1"/>
    <xf numFmtId="43" fontId="7" fillId="0" borderId="17" xfId="0" applyNumberFormat="1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" xfId="0" applyFont="1" applyBorder="1"/>
    <xf numFmtId="0" fontId="2" fillId="0" borderId="18" xfId="0" applyFont="1" applyBorder="1"/>
    <xf numFmtId="164" fontId="2" fillId="0" borderId="6" xfId="1" applyNumberFormat="1" applyFont="1" applyBorder="1"/>
    <xf numFmtId="168" fontId="2" fillId="0" borderId="4" xfId="0" applyNumberFormat="1" applyFont="1" applyBorder="1"/>
    <xf numFmtId="168" fontId="2" fillId="0" borderId="6" xfId="0" applyNumberFormat="1" applyFont="1" applyBorder="1"/>
    <xf numFmtId="165" fontId="2" fillId="0" borderId="6" xfId="0" applyNumberFormat="1" applyFont="1" applyBorder="1"/>
    <xf numFmtId="165" fontId="7" fillId="0" borderId="5" xfId="1" applyNumberFormat="1" applyFont="1" applyBorder="1" applyAlignment="1">
      <alignment horizontal="left" vertical="top"/>
    </xf>
    <xf numFmtId="165" fontId="7" fillId="0" borderId="13" xfId="1" applyNumberFormat="1" applyFont="1" applyBorder="1" applyAlignment="1">
      <alignment horizontal="left" vertical="top"/>
    </xf>
    <xf numFmtId="165" fontId="7" fillId="0" borderId="14" xfId="1" applyNumberFormat="1" applyFont="1" applyBorder="1" applyAlignment="1">
      <alignment horizontal="left" vertical="top" wrapText="1"/>
    </xf>
    <xf numFmtId="165" fontId="7" fillId="0" borderId="14" xfId="1" applyNumberFormat="1" applyFont="1" applyBorder="1"/>
    <xf numFmtId="0" fontId="7" fillId="0" borderId="15" xfId="0" applyFont="1" applyBorder="1"/>
    <xf numFmtId="10" fontId="12" fillId="0" borderId="12" xfId="2" applyNumberFormat="1" applyFont="1" applyBorder="1"/>
    <xf numFmtId="10" fontId="7" fillId="0" borderId="6" xfId="2" applyNumberFormat="1" applyFont="1" applyBorder="1"/>
    <xf numFmtId="165" fontId="7" fillId="0" borderId="12" xfId="0" applyNumberFormat="1" applyFont="1" applyBorder="1"/>
    <xf numFmtId="165" fontId="7" fillId="0" borderId="12" xfId="1" applyNumberFormat="1" applyFont="1" applyBorder="1"/>
    <xf numFmtId="166" fontId="7" fillId="0" borderId="6" xfId="1" applyNumberFormat="1" applyFont="1" applyBorder="1"/>
    <xf numFmtId="1" fontId="9" fillId="0" borderId="0" xfId="3" applyNumberFormat="1" applyFont="1" applyFill="1" applyBorder="1" applyAlignment="1">
      <alignment vertical="top"/>
    </xf>
    <xf numFmtId="1" fontId="7" fillId="0" borderId="5" xfId="3" applyNumberFormat="1" applyFont="1" applyFill="1" applyBorder="1" applyAlignment="1">
      <alignment vertical="top"/>
    </xf>
    <xf numFmtId="1" fontId="9" fillId="0" borderId="5" xfId="3" applyNumberFormat="1" applyFont="1" applyFill="1" applyBorder="1" applyAlignment="1">
      <alignment vertical="top"/>
    </xf>
    <xf numFmtId="1" fontId="7" fillId="0" borderId="0" xfId="3" applyNumberFormat="1" applyFont="1" applyFill="1" applyBorder="1" applyAlignment="1">
      <alignment vertical="top" wrapText="1"/>
    </xf>
    <xf numFmtId="1" fontId="7" fillId="0" borderId="5" xfId="3" applyNumberFormat="1" applyFont="1" applyFill="1" applyBorder="1" applyAlignment="1">
      <alignment horizontal="center" vertical="top"/>
    </xf>
    <xf numFmtId="1" fontId="9" fillId="0" borderId="5" xfId="3" applyNumberFormat="1" applyFont="1" applyFill="1" applyBorder="1" applyAlignment="1">
      <alignment horizontal="center" vertical="top"/>
    </xf>
    <xf numFmtId="1" fontId="7" fillId="0" borderId="0" xfId="3" applyNumberFormat="1" applyFont="1" applyFill="1" applyBorder="1" applyAlignment="1">
      <alignment vertical="top"/>
    </xf>
    <xf numFmtId="1" fontId="11" fillId="0" borderId="0" xfId="3" applyNumberFormat="1" applyFont="1" applyFill="1" applyBorder="1" applyAlignment="1">
      <alignment vertical="top" wrapText="1"/>
    </xf>
    <xf numFmtId="1" fontId="7" fillId="0" borderId="0" xfId="3" quotePrefix="1" applyNumberFormat="1" applyFont="1" applyFill="1" applyBorder="1" applyAlignment="1">
      <alignment vertical="top" wrapText="1"/>
    </xf>
    <xf numFmtId="1" fontId="11" fillId="0" borderId="0" xfId="3" applyNumberFormat="1" applyFont="1" applyFill="1" applyBorder="1" applyAlignment="1">
      <alignment vertical="top"/>
    </xf>
    <xf numFmtId="1" fontId="7" fillId="0" borderId="0" xfId="3" quotePrefix="1" applyNumberFormat="1" applyFont="1" applyFill="1" applyBorder="1" applyAlignment="1">
      <alignment vertical="top"/>
    </xf>
    <xf numFmtId="1" fontId="8" fillId="0" borderId="10" xfId="3" applyNumberFormat="1" applyFont="1" applyFill="1" applyBorder="1" applyAlignment="1">
      <alignment horizontal="left" vertical="top"/>
    </xf>
    <xf numFmtId="1" fontId="8" fillId="0" borderId="11" xfId="3" applyNumberFormat="1" applyFont="1" applyFill="1" applyBorder="1" applyAlignment="1">
      <alignment horizontal="center"/>
    </xf>
    <xf numFmtId="165" fontId="7" fillId="0" borderId="11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0" borderId="12" xfId="4" applyNumberFormat="1" applyFont="1" applyFill="1" applyBorder="1"/>
    <xf numFmtId="165" fontId="7" fillId="0" borderId="6" xfId="4" applyNumberFormat="1" applyFont="1" applyFill="1" applyBorder="1"/>
    <xf numFmtId="165" fontId="7" fillId="0" borderId="6" xfId="3" quotePrefix="1" applyNumberFormat="1" applyFont="1" applyFill="1" applyBorder="1"/>
    <xf numFmtId="1" fontId="7" fillId="0" borderId="5" xfId="3" applyNumberFormat="1" applyFont="1" applyFill="1" applyBorder="1" applyAlignment="1">
      <alignment vertical="top" wrapText="1"/>
    </xf>
    <xf numFmtId="165" fontId="7" fillId="0" borderId="9" xfId="4" applyNumberFormat="1" applyFont="1" applyFill="1" applyBorder="1"/>
    <xf numFmtId="165" fontId="7" fillId="0" borderId="6" xfId="3" applyNumberFormat="1" applyFont="1" applyFill="1" applyBorder="1"/>
    <xf numFmtId="165" fontId="9" fillId="0" borderId="6" xfId="4" applyNumberFormat="1" applyFont="1" applyFill="1" applyBorder="1"/>
    <xf numFmtId="165" fontId="7" fillId="0" borderId="17" xfId="4" applyNumberFormat="1" applyFont="1" applyFill="1" applyBorder="1"/>
    <xf numFmtId="1" fontId="8" fillId="0" borderId="2" xfId="3" applyNumberFormat="1" applyFont="1" applyFill="1" applyBorder="1" applyAlignment="1">
      <alignment horizontal="left" vertical="top"/>
    </xf>
    <xf numFmtId="1" fontId="8" fillId="0" borderId="3" xfId="3" applyNumberFormat="1" applyFont="1" applyFill="1" applyBorder="1" applyAlignment="1">
      <alignment horizontal="center"/>
    </xf>
    <xf numFmtId="165" fontId="7" fillId="0" borderId="3" xfId="1" applyNumberFormat="1" applyFont="1" applyFill="1" applyBorder="1" applyAlignment="1">
      <alignment horizontal="center"/>
    </xf>
    <xf numFmtId="1" fontId="7" fillId="0" borderId="6" xfId="3" applyNumberFormat="1" applyFont="1" applyFill="1" applyBorder="1" applyAlignment="1">
      <alignment vertical="top"/>
    </xf>
    <xf numFmtId="1" fontId="9" fillId="0" borderId="6" xfId="3" applyNumberFormat="1" applyFont="1" applyFill="1" applyBorder="1" applyAlignment="1">
      <alignment vertical="top"/>
    </xf>
    <xf numFmtId="3" fontId="8" fillId="0" borderId="6" xfId="3" applyNumberFormat="1" applyFont="1" applyFill="1" applyBorder="1" applyAlignment="1">
      <alignment vertical="top" wrapText="1"/>
    </xf>
    <xf numFmtId="1" fontId="7" fillId="0" borderId="6" xfId="3" applyNumberFormat="1" applyFont="1" applyFill="1" applyBorder="1" applyAlignment="1">
      <alignment vertical="top" wrapText="1"/>
    </xf>
    <xf numFmtId="1" fontId="9" fillId="0" borderId="6" xfId="3" applyNumberFormat="1" applyFont="1" applyFill="1" applyBorder="1" applyAlignment="1">
      <alignment vertical="top" wrapText="1"/>
    </xf>
    <xf numFmtId="1" fontId="8" fillId="0" borderId="12" xfId="3" applyNumberFormat="1" applyFont="1" applyFill="1" applyBorder="1" applyAlignment="1">
      <alignment horizontal="center" vertical="top" wrapText="1"/>
    </xf>
    <xf numFmtId="1" fontId="8" fillId="0" borderId="4" xfId="3" applyNumberFormat="1" applyFont="1" applyFill="1" applyBorder="1" applyAlignment="1">
      <alignment horizontal="center" vertical="top" wrapText="1"/>
    </xf>
    <xf numFmtId="165" fontId="7" fillId="0" borderId="10" xfId="3" applyNumberFormat="1" applyFont="1" applyFill="1" applyBorder="1"/>
    <xf numFmtId="165" fontId="7" fillId="0" borderId="5" xfId="3" applyNumberFormat="1" applyFont="1" applyFill="1" applyBorder="1"/>
    <xf numFmtId="165" fontId="7" fillId="0" borderId="5" xfId="4" applyNumberFormat="1" applyFont="1" applyFill="1" applyBorder="1"/>
    <xf numFmtId="165" fontId="10" fillId="0" borderId="5" xfId="4" applyNumberFormat="1" applyFont="1" applyFill="1" applyBorder="1"/>
    <xf numFmtId="165" fontId="10" fillId="0" borderId="19" xfId="4" applyNumberFormat="1" applyFont="1" applyFill="1" applyBorder="1"/>
    <xf numFmtId="165" fontId="7" fillId="0" borderId="19" xfId="4" applyNumberFormat="1" applyFont="1" applyFill="1" applyBorder="1"/>
    <xf numFmtId="165" fontId="9" fillId="0" borderId="5" xfId="3" applyNumberFormat="1" applyFont="1" applyFill="1" applyBorder="1"/>
    <xf numFmtId="1" fontId="8" fillId="0" borderId="10" xfId="3" applyNumberFormat="1" applyFont="1" applyFill="1" applyBorder="1" applyAlignment="1">
      <alignment horizontal="center"/>
    </xf>
    <xf numFmtId="1" fontId="8" fillId="0" borderId="2" xfId="3" applyNumberFormat="1" applyFont="1" applyFill="1" applyBorder="1" applyAlignment="1">
      <alignment horizontal="center"/>
    </xf>
    <xf numFmtId="165" fontId="7" fillId="0" borderId="8" xfId="3" applyNumberFormat="1" applyFont="1" applyFill="1" applyBorder="1"/>
    <xf numFmtId="165" fontId="7" fillId="0" borderId="7" xfId="3" applyNumberFormat="1" applyFont="1" applyFill="1" applyBorder="1"/>
    <xf numFmtId="0" fontId="8" fillId="0" borderId="5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2" fillId="0" borderId="5" xfId="0" applyFont="1" applyBorder="1" applyAlignment="1">
      <alignment wrapText="1"/>
    </xf>
    <xf numFmtId="165" fontId="3" fillId="0" borderId="13" xfId="1" applyNumberFormat="1" applyFont="1" applyBorder="1"/>
    <xf numFmtId="165" fontId="2" fillId="0" borderId="11" xfId="1" applyNumberFormat="1" applyFont="1" applyBorder="1"/>
    <xf numFmtId="166" fontId="2" fillId="0" borderId="11" xfId="1" applyNumberFormat="1" applyFont="1" applyBorder="1"/>
    <xf numFmtId="165" fontId="2" fillId="0" borderId="12" xfId="1" applyNumberFormat="1" applyFont="1" applyBorder="1"/>
    <xf numFmtId="0" fontId="0" fillId="0" borderId="8" xfId="0" applyBorder="1"/>
    <xf numFmtId="165" fontId="2" fillId="3" borderId="10" xfId="1" applyNumberFormat="1" applyFont="1" applyFill="1" applyBorder="1"/>
    <xf numFmtId="165" fontId="2" fillId="3" borderId="11" xfId="1" applyNumberFormat="1" applyFont="1" applyFill="1" applyBorder="1"/>
    <xf numFmtId="166" fontId="2" fillId="3" borderId="11" xfId="1" applyNumberFormat="1" applyFont="1" applyFill="1" applyBorder="1"/>
    <xf numFmtId="165" fontId="2" fillId="3" borderId="12" xfId="1" applyNumberFormat="1" applyFont="1" applyFill="1" applyBorder="1"/>
    <xf numFmtId="165" fontId="2" fillId="3" borderId="5" xfId="1" applyNumberFormat="1" applyFont="1" applyFill="1" applyBorder="1"/>
    <xf numFmtId="165" fontId="2" fillId="3" borderId="0" xfId="1" applyNumberFormat="1" applyFont="1" applyFill="1" applyBorder="1"/>
    <xf numFmtId="166" fontId="2" fillId="3" borderId="0" xfId="1" applyNumberFormat="1" applyFont="1" applyFill="1" applyBorder="1"/>
    <xf numFmtId="43" fontId="2" fillId="3" borderId="0" xfId="1" applyNumberFormat="1" applyFont="1" applyFill="1" applyBorder="1"/>
    <xf numFmtId="165" fontId="2" fillId="3" borderId="6" xfId="1" applyNumberFormat="1" applyFont="1" applyFill="1" applyBorder="1"/>
    <xf numFmtId="165" fontId="2" fillId="3" borderId="7" xfId="1" applyNumberFormat="1" applyFont="1" applyFill="1" applyBorder="1"/>
    <xf numFmtId="165" fontId="2" fillId="3" borderId="8" xfId="1" applyNumberFormat="1" applyFont="1" applyFill="1" applyBorder="1"/>
    <xf numFmtId="0" fontId="0" fillId="3" borderId="8" xfId="0" applyFill="1" applyBorder="1"/>
    <xf numFmtId="165" fontId="3" fillId="3" borderId="1" xfId="1" applyNumberFormat="1" applyFont="1" applyFill="1" applyBorder="1"/>
    <xf numFmtId="0" fontId="3" fillId="3" borderId="0" xfId="0" applyFont="1" applyFill="1"/>
    <xf numFmtId="0" fontId="2" fillId="3" borderId="0" xfId="0" applyFont="1" applyFill="1"/>
    <xf numFmtId="0" fontId="3" fillId="3" borderId="10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2" fillId="3" borderId="10" xfId="0" applyFont="1" applyFill="1" applyBorder="1"/>
    <xf numFmtId="164" fontId="2" fillId="3" borderId="10" xfId="1" applyNumberFormat="1" applyFont="1" applyFill="1" applyBorder="1"/>
    <xf numFmtId="165" fontId="2" fillId="3" borderId="13" xfId="0" applyNumberFormat="1" applyFont="1" applyFill="1" applyBorder="1"/>
    <xf numFmtId="9" fontId="2" fillId="3" borderId="10" xfId="0" applyNumberFormat="1" applyFont="1" applyFill="1" applyBorder="1"/>
    <xf numFmtId="0" fontId="2" fillId="3" borderId="5" xfId="0" applyFont="1" applyFill="1" applyBorder="1"/>
    <xf numFmtId="165" fontId="2" fillId="3" borderId="14" xfId="1" applyNumberFormat="1" applyFont="1" applyFill="1" applyBorder="1"/>
    <xf numFmtId="164" fontId="2" fillId="3" borderId="5" xfId="1" applyNumberFormat="1" applyFont="1" applyFill="1" applyBorder="1"/>
    <xf numFmtId="165" fontId="2" fillId="3" borderId="14" xfId="0" applyNumberFormat="1" applyFont="1" applyFill="1" applyBorder="1"/>
    <xf numFmtId="9" fontId="2" fillId="3" borderId="5" xfId="0" applyNumberFormat="1" applyFont="1" applyFill="1" applyBorder="1"/>
    <xf numFmtId="165" fontId="2" fillId="3" borderId="15" xfId="1" applyNumberFormat="1" applyFont="1" applyFill="1" applyBorder="1"/>
    <xf numFmtId="0" fontId="2" fillId="3" borderId="7" xfId="0" applyFont="1" applyFill="1" applyBorder="1"/>
    <xf numFmtId="165" fontId="3" fillId="3" borderId="15" xfId="0" applyNumberFormat="1" applyFont="1" applyFill="1" applyBorder="1"/>
    <xf numFmtId="165" fontId="3" fillId="3" borderId="1" xfId="0" applyNumberFormat="1" applyFont="1" applyFill="1" applyBorder="1"/>
    <xf numFmtId="0" fontId="3" fillId="3" borderId="11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wrapText="1"/>
    </xf>
    <xf numFmtId="164" fontId="2" fillId="3" borderId="7" xfId="1" applyNumberFormat="1" applyFont="1" applyFill="1" applyBorder="1"/>
    <xf numFmtId="165" fontId="2" fillId="3" borderId="15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4" xfId="0" applyNumberFormat="1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3" borderId="2" xfId="0" applyFont="1" applyFill="1" applyBorder="1" applyAlignment="1">
      <alignment horizontal="center"/>
    </xf>
    <xf numFmtId="2" fontId="2" fillId="0" borderId="0" xfId="0" applyNumberFormat="1" applyFont="1"/>
    <xf numFmtId="165" fontId="7" fillId="0" borderId="12" xfId="1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43" fontId="9" fillId="0" borderId="10" xfId="0" applyNumberFormat="1" applyFont="1" applyFill="1" applyBorder="1" applyAlignment="1">
      <alignment horizontal="center" vertical="top" wrapText="1"/>
    </xf>
    <xf numFmtId="43" fontId="7" fillId="0" borderId="5" xfId="0" applyNumberFormat="1" applyFont="1" applyFill="1" applyBorder="1"/>
    <xf numFmtId="165" fontId="7" fillId="0" borderId="5" xfId="0" applyNumberFormat="1" applyFont="1" applyFill="1" applyBorder="1"/>
    <xf numFmtId="165" fontId="9" fillId="0" borderId="5" xfId="0" applyNumberFormat="1" applyFont="1" applyFill="1" applyBorder="1"/>
    <xf numFmtId="43" fontId="7" fillId="0" borderId="7" xfId="0" applyNumberFormat="1" applyFont="1" applyFill="1" applyBorder="1"/>
    <xf numFmtId="43" fontId="7" fillId="0" borderId="10" xfId="0" applyNumberFormat="1" applyFont="1" applyFill="1" applyBorder="1"/>
    <xf numFmtId="43" fontId="7" fillId="0" borderId="19" xfId="0" applyNumberFormat="1" applyFont="1" applyFill="1" applyBorder="1"/>
    <xf numFmtId="165" fontId="9" fillId="0" borderId="7" xfId="0" applyNumberFormat="1" applyFont="1" applyFill="1" applyBorder="1"/>
    <xf numFmtId="165" fontId="9" fillId="0" borderId="2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5" fontId="9" fillId="3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1" xfId="0" applyFont="1" applyFill="1" applyBorder="1" applyAlignment="1">
      <alignment vertical="top" wrapText="1"/>
    </xf>
    <xf numFmtId="165" fontId="2" fillId="0" borderId="0" xfId="0" applyNumberFormat="1" applyFont="1" applyBorder="1"/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165" fontId="7" fillId="0" borderId="0" xfId="0" applyNumberFormat="1" applyFont="1"/>
    <xf numFmtId="165" fontId="9" fillId="0" borderId="5" xfId="1" applyNumberFormat="1" applyFont="1" applyBorder="1"/>
    <xf numFmtId="165" fontId="9" fillId="0" borderId="14" xfId="1" applyNumberFormat="1" applyFont="1" applyBorder="1"/>
    <xf numFmtId="165" fontId="9" fillId="0" borderId="6" xfId="1" applyNumberFormat="1" applyFont="1" applyBorder="1"/>
    <xf numFmtId="166" fontId="9" fillId="0" borderId="6" xfId="1" applyNumberFormat="1" applyFont="1" applyBorder="1"/>
    <xf numFmtId="0" fontId="9" fillId="0" borderId="6" xfId="0" applyFont="1" applyBorder="1"/>
    <xf numFmtId="165" fontId="9" fillId="0" borderId="6" xfId="0" applyNumberFormat="1" applyFont="1" applyBorder="1"/>
    <xf numFmtId="165" fontId="2" fillId="0" borderId="16" xfId="1" applyNumberFormat="1" applyFont="1" applyBorder="1"/>
    <xf numFmtId="0" fontId="3" fillId="0" borderId="10" xfId="0" applyFont="1" applyBorder="1"/>
    <xf numFmtId="0" fontId="3" fillId="0" borderId="0" xfId="0" applyFont="1" applyBorder="1"/>
    <xf numFmtId="10" fontId="2" fillId="0" borderId="0" xfId="2" applyNumberFormat="1" applyFont="1"/>
    <xf numFmtId="165" fontId="3" fillId="0" borderId="2" xfId="1" applyNumberFormat="1" applyFont="1" applyBorder="1" applyAlignment="1">
      <alignment horizontal="center" vertical="top"/>
    </xf>
    <xf numFmtId="165" fontId="3" fillId="0" borderId="4" xfId="1" applyNumberFormat="1" applyFont="1" applyBorder="1" applyAlignment="1">
      <alignment horizontal="center" vertical="top"/>
    </xf>
    <xf numFmtId="165" fontId="3" fillId="0" borderId="3" xfId="1" applyNumberFormat="1" applyFont="1" applyBorder="1" applyAlignment="1">
      <alignment horizontal="center" vertical="top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5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8" fillId="2" borderId="6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15" fontId="2" fillId="3" borderId="2" xfId="0" quotePrefix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5" fontId="2" fillId="0" borderId="2" xfId="0" quotePrefix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</cellXfs>
  <cellStyles count="5">
    <cellStyle name="Comma" xfId="1" builtinId="3"/>
    <cellStyle name="Comma_Genx Tax Computation Mar08" xfId="4"/>
    <cellStyle name="Normal" xfId="0" builtinId="0"/>
    <cellStyle name="Normal_Genx Tax Computation Mar08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/>
  </sheetViews>
  <sheetFormatPr defaultRowHeight="10.5" x14ac:dyDescent="0.15"/>
  <cols>
    <col min="1" max="1" width="4.85546875" style="23" customWidth="1"/>
    <col min="2" max="2" width="36" style="23" customWidth="1"/>
    <col min="3" max="3" width="9.85546875" style="7" bestFit="1" customWidth="1"/>
    <col min="4" max="4" width="9.7109375" style="7" bestFit="1" customWidth="1"/>
    <col min="5" max="5" width="9.7109375" style="23" bestFit="1" customWidth="1"/>
    <col min="6" max="6" width="9.5703125" style="23" bestFit="1" customWidth="1"/>
    <col min="7" max="11" width="10.5703125" style="23" bestFit="1" customWidth="1"/>
    <col min="12" max="16384" width="9.140625" style="23"/>
  </cols>
  <sheetData>
    <row r="1" spans="1:14" x14ac:dyDescent="0.15">
      <c r="A1" s="269" t="str">
        <f>Deferred!A1</f>
        <v>ABCL</v>
      </c>
    </row>
    <row r="2" spans="1:14" ht="11.25" thickBot="1" x14ac:dyDescent="0.2">
      <c r="A2" s="269" t="s">
        <v>182</v>
      </c>
      <c r="E2" s="7"/>
      <c r="F2" s="7"/>
      <c r="G2" s="7"/>
      <c r="H2" s="7"/>
      <c r="I2" s="7"/>
      <c r="J2" s="7"/>
      <c r="K2" s="7"/>
    </row>
    <row r="3" spans="1:14" s="258" customFormat="1" ht="21.75" thickBot="1" x14ac:dyDescent="0.3">
      <c r="A3" s="259" t="s">
        <v>164</v>
      </c>
      <c r="B3" s="42" t="s">
        <v>38</v>
      </c>
      <c r="C3" s="271" t="s">
        <v>165</v>
      </c>
      <c r="D3" s="273"/>
      <c r="E3" s="271" t="s">
        <v>166</v>
      </c>
      <c r="F3" s="273"/>
      <c r="G3" s="271" t="s">
        <v>167</v>
      </c>
      <c r="H3" s="273"/>
      <c r="I3" s="271" t="s">
        <v>168</v>
      </c>
      <c r="J3" s="273"/>
      <c r="K3" s="271" t="s">
        <v>169</v>
      </c>
      <c r="L3" s="272"/>
      <c r="M3" s="271" t="s">
        <v>170</v>
      </c>
      <c r="N3" s="272"/>
    </row>
    <row r="4" spans="1:14" x14ac:dyDescent="0.15">
      <c r="A4" s="21">
        <v>1</v>
      </c>
      <c r="B4" s="115" t="s">
        <v>180</v>
      </c>
      <c r="C4" s="25">
        <f>D5</f>
        <v>0</v>
      </c>
      <c r="D4" s="187"/>
      <c r="E4" s="25">
        <f>F5</f>
        <v>0</v>
      </c>
      <c r="F4" s="185"/>
      <c r="G4" s="25">
        <f>H5</f>
        <v>0</v>
      </c>
      <c r="H4" s="185"/>
      <c r="I4" s="25">
        <f>J5</f>
        <v>0</v>
      </c>
      <c r="J4" s="185"/>
      <c r="K4" s="25">
        <f>L5</f>
        <v>0</v>
      </c>
      <c r="L4" s="115"/>
      <c r="M4" s="185">
        <f>N5</f>
        <v>0</v>
      </c>
      <c r="N4" s="115"/>
    </row>
    <row r="5" spans="1:14" x14ac:dyDescent="0.15">
      <c r="A5" s="22"/>
      <c r="B5" s="116" t="s">
        <v>179</v>
      </c>
      <c r="C5" s="10"/>
      <c r="D5" s="13">
        <f>IF(Deferred!G12&lt;0,-Deferred!G12,0)</f>
        <v>0</v>
      </c>
      <c r="E5" s="10"/>
      <c r="F5" s="7">
        <f>IF(Deferred!L12&lt;0,-Deferred!L12,0)</f>
        <v>0</v>
      </c>
      <c r="G5" s="10"/>
      <c r="H5" s="7">
        <f>IF(Deferred!Q12&lt;0,-Deferred!Q12,0)</f>
        <v>0</v>
      </c>
      <c r="I5" s="10"/>
      <c r="J5" s="7">
        <f>IF(Deferred!V12&lt;0,-Deferred!V12,0)</f>
        <v>0</v>
      </c>
      <c r="K5" s="10"/>
      <c r="L5" s="13">
        <f>IF(Deferred!AA12&lt;0,-Deferred!AA12,0)</f>
        <v>0</v>
      </c>
      <c r="M5" s="7"/>
      <c r="N5" s="13">
        <f>IF(Deferred!AF12&lt;0,-Deferred!AF12,0)</f>
        <v>0</v>
      </c>
    </row>
    <row r="6" spans="1:14" x14ac:dyDescent="0.15">
      <c r="A6" s="22"/>
      <c r="B6" s="116"/>
      <c r="C6" s="10"/>
      <c r="D6" s="13"/>
      <c r="E6" s="10"/>
      <c r="F6" s="7"/>
      <c r="G6" s="10"/>
      <c r="H6" s="7"/>
      <c r="I6" s="10"/>
      <c r="J6" s="7"/>
      <c r="K6" s="10"/>
      <c r="L6" s="116"/>
      <c r="M6" s="7"/>
      <c r="N6" s="116"/>
    </row>
    <row r="7" spans="1:14" x14ac:dyDescent="0.15">
      <c r="A7" s="22">
        <v>2</v>
      </c>
      <c r="B7" s="116" t="s">
        <v>181</v>
      </c>
      <c r="C7" s="10">
        <f>IF(Deferred!G12&gt;0,Deferred!G12,0)</f>
        <v>5960.76</v>
      </c>
      <c r="D7" s="13"/>
      <c r="E7" s="10">
        <f>IF(Deferred!L12&gt;0,Deferred!L12,0)</f>
        <v>387.2602116992885</v>
      </c>
      <c r="F7" s="7"/>
      <c r="G7" s="10">
        <f>IF(Deferred!Q12&gt;0,Deferred!Q12,0)</f>
        <v>14091.23221325727</v>
      </c>
      <c r="H7" s="7"/>
      <c r="I7" s="10">
        <f>IF(Deferred!V12&gt;0,Deferred!V12,0)</f>
        <v>9434.1633821782216</v>
      </c>
      <c r="J7" s="7"/>
      <c r="K7" s="10">
        <f>IF(Deferred!AA12&gt;0,Deferred!AA12,0)</f>
        <v>5405.2858602136375</v>
      </c>
      <c r="L7" s="116"/>
      <c r="M7" s="7">
        <f>IF(Deferred!AF12&gt;0,Deferred!AF12,0)</f>
        <v>1858.8598887741546</v>
      </c>
      <c r="N7" s="116"/>
    </row>
    <row r="8" spans="1:14" x14ac:dyDescent="0.15">
      <c r="A8" s="22"/>
      <c r="B8" s="116" t="s">
        <v>180</v>
      </c>
      <c r="C8" s="10"/>
      <c r="D8" s="13">
        <v>5960.76</v>
      </c>
      <c r="E8" s="10"/>
      <c r="F8" s="7">
        <v>387.2602116992885</v>
      </c>
      <c r="G8" s="10"/>
      <c r="H8" s="7">
        <v>14091.23221325727</v>
      </c>
      <c r="I8" s="10"/>
      <c r="J8" s="7">
        <v>9434.1633821782216</v>
      </c>
      <c r="K8" s="10"/>
      <c r="L8" s="116">
        <v>5405.2858602136375</v>
      </c>
      <c r="M8" s="7"/>
      <c r="N8" s="116">
        <v>1858.8598887741546</v>
      </c>
    </row>
    <row r="9" spans="1:14" ht="11.25" thickBot="1" x14ac:dyDescent="0.2">
      <c r="A9" s="24"/>
      <c r="B9" s="118"/>
      <c r="C9" s="14"/>
      <c r="D9" s="18"/>
      <c r="E9" s="14"/>
      <c r="F9" s="15"/>
      <c r="G9" s="14"/>
      <c r="H9" s="15"/>
      <c r="I9" s="14"/>
      <c r="J9" s="15"/>
      <c r="K9" s="14"/>
      <c r="L9" s="118"/>
      <c r="M9" s="15"/>
      <c r="N9" s="118"/>
    </row>
    <row r="10" spans="1:14" ht="11.25" thickBot="1" x14ac:dyDescent="0.2"/>
    <row r="11" spans="1:14" ht="21.75" thickBot="1" x14ac:dyDescent="0.2">
      <c r="A11" s="259" t="s">
        <v>164</v>
      </c>
      <c r="B11" s="42" t="s">
        <v>38</v>
      </c>
      <c r="C11" s="271" t="s">
        <v>165</v>
      </c>
      <c r="D11" s="273"/>
      <c r="E11" s="271" t="s">
        <v>166</v>
      </c>
      <c r="F11" s="273"/>
      <c r="G11" s="271" t="s">
        <v>167</v>
      </c>
      <c r="H11" s="273"/>
      <c r="I11" s="271" t="s">
        <v>168</v>
      </c>
      <c r="J11" s="273"/>
      <c r="K11" s="271" t="s">
        <v>169</v>
      </c>
      <c r="L11" s="273"/>
      <c r="M11" s="271" t="s">
        <v>170</v>
      </c>
      <c r="N11" s="272"/>
    </row>
    <row r="12" spans="1:14" x14ac:dyDescent="0.15">
      <c r="A12" s="21">
        <v>1</v>
      </c>
      <c r="B12" s="114" t="s">
        <v>176</v>
      </c>
      <c r="C12" s="25">
        <f>MAT!C27</f>
        <v>19240</v>
      </c>
      <c r="D12" s="185"/>
      <c r="E12" s="25">
        <f>COTI!F40</f>
        <v>439563.34180672606</v>
      </c>
      <c r="F12" s="185"/>
      <c r="G12" s="25">
        <f>COTI!H40</f>
        <v>1534547.2213257269</v>
      </c>
      <c r="H12" s="185"/>
      <c r="I12" s="25">
        <f>COTI!J40</f>
        <v>1075080.3382178221</v>
      </c>
      <c r="J12" s="185"/>
      <c r="K12" s="25">
        <f>COTI!L40</f>
        <v>685296.58602136362</v>
      </c>
      <c r="L12" s="114"/>
      <c r="M12" s="25">
        <f>COTI!N40</f>
        <v>402725.98887741542</v>
      </c>
      <c r="N12" s="115"/>
    </row>
    <row r="13" spans="1:14" x14ac:dyDescent="0.15">
      <c r="A13" s="22"/>
      <c r="B13" s="23" t="s">
        <v>172</v>
      </c>
      <c r="C13" s="10"/>
      <c r="D13" s="7">
        <f>COTI!D42</f>
        <v>19240</v>
      </c>
      <c r="E13" s="10"/>
      <c r="F13" s="7">
        <f>E12</f>
        <v>439563.34180672606</v>
      </c>
      <c r="G13" s="10"/>
      <c r="H13" s="7">
        <f>G12</f>
        <v>1534547.2213257269</v>
      </c>
      <c r="I13" s="10"/>
      <c r="J13" s="7">
        <f>I12</f>
        <v>1075080.3382178221</v>
      </c>
      <c r="K13" s="10"/>
      <c r="L13" s="7">
        <f>K12</f>
        <v>685296.58602136362</v>
      </c>
      <c r="M13" s="10"/>
      <c r="N13" s="13">
        <f>M12</f>
        <v>402725.98887741542</v>
      </c>
    </row>
    <row r="14" spans="1:14" x14ac:dyDescent="0.15">
      <c r="A14" s="22"/>
      <c r="C14" s="10"/>
      <c r="E14" s="10"/>
      <c r="F14" s="7"/>
      <c r="G14" s="10"/>
      <c r="H14" s="7"/>
      <c r="I14" s="10"/>
      <c r="J14" s="7"/>
      <c r="K14" s="10"/>
      <c r="M14" s="10"/>
      <c r="N14" s="116"/>
    </row>
    <row r="15" spans="1:14" x14ac:dyDescent="0.15">
      <c r="A15" s="22">
        <v>2</v>
      </c>
      <c r="B15" s="23" t="s">
        <v>177</v>
      </c>
      <c r="C15" s="10">
        <f>C12</f>
        <v>19240</v>
      </c>
      <c r="E15" s="10">
        <f>0</f>
        <v>0</v>
      </c>
      <c r="F15" s="7"/>
      <c r="G15" s="10">
        <f>0</f>
        <v>0</v>
      </c>
      <c r="H15" s="7"/>
      <c r="I15" s="10">
        <f>0</f>
        <v>0</v>
      </c>
      <c r="J15" s="7"/>
      <c r="K15" s="10">
        <f>0</f>
        <v>0</v>
      </c>
      <c r="M15" s="10">
        <f>0</f>
        <v>0</v>
      </c>
      <c r="N15" s="116"/>
    </row>
    <row r="16" spans="1:14" ht="11.25" thickBot="1" x14ac:dyDescent="0.2">
      <c r="A16" s="24"/>
      <c r="B16" s="117" t="s">
        <v>178</v>
      </c>
      <c r="C16" s="14"/>
      <c r="D16" s="15">
        <f>+C15</f>
        <v>19240</v>
      </c>
      <c r="E16" s="14"/>
      <c r="F16" s="15">
        <f>E15</f>
        <v>0</v>
      </c>
      <c r="G16" s="14"/>
      <c r="H16" s="15">
        <f>G15</f>
        <v>0</v>
      </c>
      <c r="I16" s="14"/>
      <c r="J16" s="15">
        <f>I15</f>
        <v>0</v>
      </c>
      <c r="K16" s="14"/>
      <c r="L16" s="15">
        <f>K15</f>
        <v>0</v>
      </c>
      <c r="M16" s="14"/>
      <c r="N16" s="18">
        <f>M15</f>
        <v>0</v>
      </c>
    </row>
    <row r="17" spans="1:14" ht="11.25" thickBot="1" x14ac:dyDescent="0.2"/>
    <row r="18" spans="1:14" x14ac:dyDescent="0.15">
      <c r="A18" s="268" t="s">
        <v>173</v>
      </c>
      <c r="B18" s="115"/>
      <c r="C18" s="185"/>
      <c r="D18" s="187"/>
      <c r="E18" s="114"/>
      <c r="F18" s="115"/>
      <c r="G18" s="114"/>
      <c r="H18" s="115"/>
      <c r="I18" s="114"/>
      <c r="J18" s="115"/>
      <c r="K18" s="114"/>
      <c r="L18" s="115"/>
      <c r="M18" s="114"/>
      <c r="N18" s="115"/>
    </row>
    <row r="19" spans="1:14" x14ac:dyDescent="0.15">
      <c r="A19" s="22"/>
      <c r="B19" s="116" t="s">
        <v>174</v>
      </c>
      <c r="C19" s="7">
        <f>C12</f>
        <v>19240</v>
      </c>
      <c r="D19" s="13"/>
      <c r="E19" s="257">
        <f>E12</f>
        <v>439563.34180672606</v>
      </c>
      <c r="F19" s="116"/>
      <c r="G19" s="257">
        <f>G12</f>
        <v>1534547.2213257269</v>
      </c>
      <c r="H19" s="116"/>
      <c r="I19" s="257">
        <f>I12</f>
        <v>1075080.3382178221</v>
      </c>
      <c r="J19" s="116"/>
      <c r="K19" s="257">
        <f>K12</f>
        <v>685296.58602136362</v>
      </c>
      <c r="L19" s="116"/>
      <c r="M19" s="257">
        <f>M12</f>
        <v>402725.98887741542</v>
      </c>
      <c r="N19" s="116"/>
    </row>
    <row r="20" spans="1:14" x14ac:dyDescent="0.15">
      <c r="A20" s="22"/>
      <c r="B20" s="116" t="s">
        <v>175</v>
      </c>
      <c r="C20" s="7">
        <f>-D16</f>
        <v>-19240</v>
      </c>
      <c r="D20" s="13"/>
      <c r="E20" s="7">
        <f>-F16</f>
        <v>0</v>
      </c>
      <c r="F20" s="116"/>
      <c r="G20" s="7">
        <f>-H16</f>
        <v>0</v>
      </c>
      <c r="H20" s="116"/>
      <c r="I20" s="7">
        <f>-J16</f>
        <v>0</v>
      </c>
      <c r="J20" s="116"/>
      <c r="K20" s="7">
        <f>-L16</f>
        <v>0</v>
      </c>
      <c r="L20" s="116"/>
      <c r="M20" s="7">
        <f>-N16</f>
        <v>0</v>
      </c>
      <c r="N20" s="116"/>
    </row>
    <row r="21" spans="1:14" x14ac:dyDescent="0.15">
      <c r="A21" s="22"/>
      <c r="B21" s="116" t="s">
        <v>37</v>
      </c>
      <c r="C21" s="267">
        <f>-C7</f>
        <v>-5960.76</v>
      </c>
      <c r="D21" s="13"/>
      <c r="E21" s="267">
        <f>-E7</f>
        <v>-387.2602116992885</v>
      </c>
      <c r="F21" s="116"/>
      <c r="G21" s="267">
        <f>-G7</f>
        <v>-14091.23221325727</v>
      </c>
      <c r="H21" s="116"/>
      <c r="I21" s="267">
        <f>-I7</f>
        <v>-9434.1633821782216</v>
      </c>
      <c r="J21" s="116"/>
      <c r="K21" s="267">
        <f>-K7</f>
        <v>-5405.2858602136375</v>
      </c>
      <c r="L21" s="116"/>
      <c r="M21" s="267">
        <f>-M7</f>
        <v>-1858.8598887741546</v>
      </c>
      <c r="N21" s="116"/>
    </row>
    <row r="22" spans="1:14" ht="11.25" thickBot="1" x14ac:dyDescent="0.2">
      <c r="A22" s="24"/>
      <c r="B22" s="118"/>
      <c r="C22" s="15">
        <f>SUM(C19:C21)</f>
        <v>-5960.76</v>
      </c>
      <c r="D22" s="18"/>
      <c r="E22" s="15">
        <f>SUM(E19:E21)</f>
        <v>439176.08159502677</v>
      </c>
      <c r="F22" s="118"/>
      <c r="G22" s="15">
        <f>SUM(G19:G21)</f>
        <v>1520455.9891124696</v>
      </c>
      <c r="H22" s="118"/>
      <c r="I22" s="15">
        <f>SUM(I19:I21)</f>
        <v>1065646.174835644</v>
      </c>
      <c r="J22" s="118"/>
      <c r="K22" s="15">
        <f>SUM(K19:K21)</f>
        <v>679891.30016114993</v>
      </c>
      <c r="L22" s="118"/>
      <c r="M22" s="15">
        <f>SUM(M19:M21)</f>
        <v>400867.12898864126</v>
      </c>
      <c r="N22" s="118"/>
    </row>
  </sheetData>
  <mergeCells count="12">
    <mergeCell ref="M11:N11"/>
    <mergeCell ref="C3:D3"/>
    <mergeCell ref="E3:F3"/>
    <mergeCell ref="G3:H3"/>
    <mergeCell ref="I3:J3"/>
    <mergeCell ref="K3:L3"/>
    <mergeCell ref="M3:N3"/>
    <mergeCell ref="C11:D11"/>
    <mergeCell ref="E11:F11"/>
    <mergeCell ref="G11:H11"/>
    <mergeCell ref="I11:J11"/>
    <mergeCell ref="K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7"/>
  <sheetViews>
    <sheetView workbookViewId="0"/>
  </sheetViews>
  <sheetFormatPr defaultRowHeight="10.5" x14ac:dyDescent="0.15"/>
  <cols>
    <col min="1" max="1" width="3.5703125" style="80" customWidth="1"/>
    <col min="2" max="2" width="25.7109375" style="80" customWidth="1"/>
    <col min="3" max="4" width="11.5703125" style="80" customWidth="1"/>
    <col min="5" max="5" width="9.7109375" style="80" customWidth="1"/>
    <col min="6" max="6" width="7.28515625" style="80" customWidth="1"/>
    <col min="7" max="7" width="7.7109375" style="80" customWidth="1"/>
    <col min="8" max="8" width="13.28515625" style="80" bestFit="1" customWidth="1"/>
    <col min="9" max="9" width="11.5703125" style="80" bestFit="1" customWidth="1"/>
    <col min="10" max="10" width="10.5703125" style="80" bestFit="1" customWidth="1"/>
    <col min="11" max="11" width="7.28515625" style="80" customWidth="1"/>
    <col min="12" max="12" width="8" style="80" customWidth="1"/>
    <col min="13" max="14" width="11.5703125" style="80" bestFit="1" customWidth="1"/>
    <col min="15" max="15" width="11.28515625" style="80" bestFit="1" customWidth="1"/>
    <col min="16" max="17" width="9.140625" style="80"/>
    <col min="18" max="19" width="11.5703125" style="80" bestFit="1" customWidth="1"/>
    <col min="20" max="20" width="11.28515625" style="80" bestFit="1" customWidth="1"/>
    <col min="21" max="22" width="9.140625" style="80"/>
    <col min="23" max="24" width="11.5703125" style="80" bestFit="1" customWidth="1"/>
    <col min="25" max="25" width="11.28515625" style="80" bestFit="1" customWidth="1"/>
    <col min="26" max="27" width="9.140625" style="80"/>
    <col min="28" max="29" width="11.5703125" style="80" bestFit="1" customWidth="1"/>
    <col min="30" max="30" width="10.5703125" style="80" bestFit="1" customWidth="1"/>
    <col min="31" max="16384" width="9.140625" style="80"/>
  </cols>
  <sheetData>
    <row r="1" spans="1:34" x14ac:dyDescent="0.15">
      <c r="A1" s="77" t="s">
        <v>27</v>
      </c>
    </row>
    <row r="2" spans="1:34" ht="11.25" thickBot="1" x14ac:dyDescent="0.2">
      <c r="A2" s="77" t="s">
        <v>37</v>
      </c>
    </row>
    <row r="3" spans="1:34" ht="11.25" thickBot="1" x14ac:dyDescent="0.2">
      <c r="C3" s="277" t="s">
        <v>158</v>
      </c>
      <c r="D3" s="278"/>
      <c r="E3" s="278"/>
      <c r="F3" s="278"/>
      <c r="G3" s="279"/>
      <c r="H3" s="274" t="s">
        <v>159</v>
      </c>
      <c r="I3" s="275"/>
      <c r="J3" s="275"/>
      <c r="K3" s="275"/>
      <c r="L3" s="276"/>
      <c r="M3" s="277" t="s">
        <v>160</v>
      </c>
      <c r="N3" s="278"/>
      <c r="O3" s="278"/>
      <c r="P3" s="278"/>
      <c r="Q3" s="279"/>
      <c r="R3" s="274" t="s">
        <v>161</v>
      </c>
      <c r="S3" s="275"/>
      <c r="T3" s="275"/>
      <c r="U3" s="275"/>
      <c r="V3" s="276"/>
      <c r="W3" s="277" t="s">
        <v>162</v>
      </c>
      <c r="X3" s="278"/>
      <c r="Y3" s="278"/>
      <c r="Z3" s="278"/>
      <c r="AA3" s="279"/>
      <c r="AB3" s="274" t="s">
        <v>163</v>
      </c>
      <c r="AC3" s="275"/>
      <c r="AD3" s="275"/>
      <c r="AE3" s="275"/>
      <c r="AF3" s="276"/>
    </row>
    <row r="4" spans="1:34" s="255" customFormat="1" ht="21.75" thickBot="1" x14ac:dyDescent="0.3">
      <c r="A4" s="250" t="s">
        <v>155</v>
      </c>
      <c r="B4" s="251" t="s">
        <v>38</v>
      </c>
      <c r="C4" s="251" t="s">
        <v>39</v>
      </c>
      <c r="D4" s="252" t="s">
        <v>40</v>
      </c>
      <c r="E4" s="251" t="s">
        <v>122</v>
      </c>
      <c r="F4" s="252" t="s">
        <v>42</v>
      </c>
      <c r="G4" s="251" t="s">
        <v>123</v>
      </c>
      <c r="H4" s="253" t="s">
        <v>39</v>
      </c>
      <c r="I4" s="254" t="s">
        <v>40</v>
      </c>
      <c r="J4" s="253" t="s">
        <v>122</v>
      </c>
      <c r="K4" s="254" t="s">
        <v>42</v>
      </c>
      <c r="L4" s="253" t="s">
        <v>123</v>
      </c>
      <c r="M4" s="251" t="s">
        <v>39</v>
      </c>
      <c r="N4" s="252" t="s">
        <v>40</v>
      </c>
      <c r="O4" s="251" t="s">
        <v>122</v>
      </c>
      <c r="P4" s="252" t="s">
        <v>42</v>
      </c>
      <c r="Q4" s="251" t="s">
        <v>123</v>
      </c>
      <c r="R4" s="253" t="s">
        <v>39</v>
      </c>
      <c r="S4" s="254" t="s">
        <v>40</v>
      </c>
      <c r="T4" s="253" t="s">
        <v>122</v>
      </c>
      <c r="U4" s="254" t="s">
        <v>42</v>
      </c>
      <c r="V4" s="253" t="s">
        <v>123</v>
      </c>
      <c r="W4" s="251" t="s">
        <v>39</v>
      </c>
      <c r="X4" s="252" t="s">
        <v>40</v>
      </c>
      <c r="Y4" s="251" t="s">
        <v>122</v>
      </c>
      <c r="Z4" s="252" t="s">
        <v>42</v>
      </c>
      <c r="AA4" s="251" t="s">
        <v>123</v>
      </c>
      <c r="AB4" s="253" t="s">
        <v>39</v>
      </c>
      <c r="AC4" s="254" t="s">
        <v>40</v>
      </c>
      <c r="AD4" s="253" t="s">
        <v>122</v>
      </c>
      <c r="AE4" s="254" t="s">
        <v>42</v>
      </c>
      <c r="AF4" s="253" t="s">
        <v>123</v>
      </c>
    </row>
    <row r="5" spans="1:34" x14ac:dyDescent="0.15">
      <c r="A5" s="127">
        <v>1</v>
      </c>
      <c r="B5" s="128" t="s">
        <v>41</v>
      </c>
      <c r="C5" s="135">
        <f>COTI!C9</f>
        <v>2622538.8520410163</v>
      </c>
      <c r="D5" s="135">
        <f>-COTI!C19</f>
        <v>2649803.8499999996</v>
      </c>
      <c r="E5" s="134">
        <f>C5-D5</f>
        <v>-27264.997958983295</v>
      </c>
      <c r="F5" s="132">
        <f>(30%+(0%*(30%)))*104%</f>
        <v>0.312</v>
      </c>
      <c r="G5" s="98">
        <f>E5*F5%</f>
        <v>-85.066793632027881</v>
      </c>
      <c r="H5" s="135">
        <f>COTI!E9</f>
        <v>4160359.7052241312</v>
      </c>
      <c r="I5" s="135">
        <f>-COTI!E19</f>
        <v>3199237.8425000003</v>
      </c>
      <c r="J5" s="134">
        <f>H5-I5</f>
        <v>961121.86272413097</v>
      </c>
      <c r="K5" s="132">
        <f>(30%+(0%*(30%)))*104%</f>
        <v>0.312</v>
      </c>
      <c r="L5" s="98">
        <f>J5*K5%</f>
        <v>2998.7002116992885</v>
      </c>
      <c r="M5" s="135">
        <f>COTI!G9</f>
        <v>8553615.7382972017</v>
      </c>
      <c r="N5" s="135">
        <f>-COTI!G19</f>
        <v>4058650.1571249994</v>
      </c>
      <c r="O5" s="134">
        <f>M5-N5</f>
        <v>4494965.5811722018</v>
      </c>
      <c r="P5" s="132">
        <f>(30%+(0%*(30%)))*104%</f>
        <v>0.312</v>
      </c>
      <c r="Q5" s="98">
        <f>O5*P5%</f>
        <v>14024.29261325727</v>
      </c>
      <c r="R5" s="135">
        <f>COTI!I9</f>
        <v>5947782.523356962</v>
      </c>
      <c r="S5" s="135">
        <f>-COTI!I19</f>
        <v>3595464.2085562497</v>
      </c>
      <c r="T5" s="134">
        <f>R5-S5</f>
        <v>2352318.3148007123</v>
      </c>
      <c r="U5" s="132">
        <f>(30%+(0%*(30%)))*104%</f>
        <v>0.312</v>
      </c>
      <c r="V5" s="98">
        <f>T5*U5%</f>
        <v>7339.2331421782219</v>
      </c>
      <c r="W5" s="135">
        <f>COTI!K9</f>
        <v>4520403.9212779524</v>
      </c>
      <c r="X5" s="135">
        <f>-COTI!K19</f>
        <v>3442162.5045428122</v>
      </c>
      <c r="Y5" s="134">
        <f>W5-X5</f>
        <v>1078241.4167351401</v>
      </c>
      <c r="Z5" s="132">
        <f>(30%+(0%*(30%)))*104%</f>
        <v>0.312</v>
      </c>
      <c r="AA5" s="98">
        <f>Y5*Z5%</f>
        <v>3364.1132202136373</v>
      </c>
      <c r="AB5" s="135">
        <f>COTI!M9</f>
        <v>3525381.2544050422</v>
      </c>
      <c r="AC5" s="135">
        <f>-COTI!M19</f>
        <v>3006279.8285158901</v>
      </c>
      <c r="AD5" s="134">
        <f>AB5-AC5</f>
        <v>519101.4258891521</v>
      </c>
      <c r="AE5" s="132">
        <f>(30%+(0%*(30%)))*104%</f>
        <v>0.312</v>
      </c>
      <c r="AF5" s="98">
        <f>AD5*AE5%</f>
        <v>1619.5964487741546</v>
      </c>
    </row>
    <row r="6" spans="1:34" x14ac:dyDescent="0.15">
      <c r="A6" s="127">
        <v>2</v>
      </c>
      <c r="B6" s="129" t="s">
        <v>88</v>
      </c>
      <c r="C6" s="98"/>
      <c r="D6" s="136"/>
      <c r="E6" s="99"/>
      <c r="F6" s="99"/>
      <c r="G6" s="99"/>
      <c r="H6" s="98"/>
      <c r="I6" s="136"/>
      <c r="J6" s="99"/>
      <c r="K6" s="99"/>
      <c r="L6" s="99"/>
      <c r="M6" s="98"/>
      <c r="N6" s="136"/>
      <c r="O6" s="99"/>
      <c r="P6" s="99"/>
      <c r="Q6" s="99"/>
      <c r="R6" s="98"/>
      <c r="S6" s="136"/>
      <c r="T6" s="99"/>
      <c r="U6" s="99"/>
      <c r="V6" s="99"/>
      <c r="W6" s="98"/>
      <c r="X6" s="136"/>
      <c r="Y6" s="99"/>
      <c r="Z6" s="99"/>
      <c r="AA6" s="99"/>
      <c r="AB6" s="98"/>
      <c r="AC6" s="136"/>
      <c r="AD6" s="99"/>
      <c r="AE6" s="99"/>
      <c r="AF6" s="99"/>
    </row>
    <row r="7" spans="1:34" ht="31.5" x14ac:dyDescent="0.15">
      <c r="A7" s="127">
        <v>3</v>
      </c>
      <c r="B7" s="129" t="s">
        <v>93</v>
      </c>
      <c r="C7" s="99"/>
      <c r="D7" s="98">
        <f>-IF(COTI!D26&lt;0,COTI!D26,0)</f>
        <v>592264.99795898329</v>
      </c>
      <c r="E7" s="98">
        <f>D7</f>
        <v>592264.99795898329</v>
      </c>
      <c r="F7" s="133">
        <f>F5</f>
        <v>0.312</v>
      </c>
      <c r="G7" s="98">
        <f>E7*F7%</f>
        <v>1847.8667936320278</v>
      </c>
      <c r="H7" s="99"/>
      <c r="I7" s="98">
        <f>-IF(COTI!F26&lt;0,COTI!F26,0)</f>
        <v>0</v>
      </c>
      <c r="J7" s="98">
        <f>I7</f>
        <v>0</v>
      </c>
      <c r="K7" s="133">
        <f>K5</f>
        <v>0.312</v>
      </c>
      <c r="L7" s="98">
        <f>J7*K7%</f>
        <v>0</v>
      </c>
      <c r="M7" s="99"/>
      <c r="N7" s="98">
        <f>-IF(COTI!H26&lt;0,COTI!H26,0)</f>
        <v>0</v>
      </c>
      <c r="O7" s="98">
        <f>N7</f>
        <v>0</v>
      </c>
      <c r="P7" s="133">
        <f>P5</f>
        <v>0.312</v>
      </c>
      <c r="Q7" s="98">
        <f>O7*P7%</f>
        <v>0</v>
      </c>
      <c r="R7" s="99"/>
      <c r="S7" s="98">
        <f>-IF(COTI!J26&lt;0,COTI!J26,0)</f>
        <v>0</v>
      </c>
      <c r="T7" s="98">
        <f>S7</f>
        <v>0</v>
      </c>
      <c r="U7" s="133">
        <f>U5</f>
        <v>0.312</v>
      </c>
      <c r="V7" s="98">
        <f>T7*U7%</f>
        <v>0</v>
      </c>
      <c r="W7" s="99"/>
      <c r="X7" s="98">
        <f>-IF(COTI!L26&lt;0,COTI!L26,0)</f>
        <v>0</v>
      </c>
      <c r="Y7" s="98">
        <f>X7</f>
        <v>0</v>
      </c>
      <c r="Z7" s="133">
        <f>Z5</f>
        <v>0.312</v>
      </c>
      <c r="AA7" s="98">
        <f>Y7*Z7%</f>
        <v>0</v>
      </c>
      <c r="AB7" s="99"/>
      <c r="AC7" s="98">
        <f>-IF(COTI!N26&lt;0,COTI!N26,0)</f>
        <v>0</v>
      </c>
      <c r="AD7" s="98">
        <f>AC7</f>
        <v>0</v>
      </c>
      <c r="AE7" s="133">
        <f>AE5</f>
        <v>0.312</v>
      </c>
      <c r="AF7" s="98">
        <f>AD7*AE7%</f>
        <v>0</v>
      </c>
    </row>
    <row r="8" spans="1:34" ht="21" x14ac:dyDescent="0.15">
      <c r="A8" s="127">
        <v>4</v>
      </c>
      <c r="B8" s="129" t="s">
        <v>65</v>
      </c>
      <c r="C8" s="98">
        <f>C26</f>
        <v>1675000</v>
      </c>
      <c r="D8" s="98">
        <f>D26</f>
        <v>837500</v>
      </c>
      <c r="E8" s="98">
        <f>C8-D8</f>
        <v>837500</v>
      </c>
      <c r="F8" s="133">
        <f>(30%+(0%*(30%)))*104%</f>
        <v>0.312</v>
      </c>
      <c r="G8" s="98">
        <f>E8*F8%</f>
        <v>2613</v>
      </c>
      <c r="H8" s="98">
        <f>H26</f>
        <v>0</v>
      </c>
      <c r="I8" s="98">
        <f>I26</f>
        <v>837500</v>
      </c>
      <c r="J8" s="98">
        <f>H8-I8</f>
        <v>-837500</v>
      </c>
      <c r="K8" s="133">
        <f>(30%+(0%*(30%)))*104%</f>
        <v>0.312</v>
      </c>
      <c r="L8" s="98">
        <f>J8*K8%</f>
        <v>-2613</v>
      </c>
      <c r="M8" s="98">
        <f>M26</f>
        <v>0</v>
      </c>
      <c r="N8" s="98">
        <f>N26</f>
        <v>0</v>
      </c>
      <c r="O8" s="98">
        <f>M8-N8</f>
        <v>0</v>
      </c>
      <c r="P8" s="133">
        <f>(30%+(0%*(30%)))*104%</f>
        <v>0.312</v>
      </c>
      <c r="Q8" s="98">
        <f>O8*P8%</f>
        <v>0</v>
      </c>
      <c r="R8" s="98">
        <f>R26</f>
        <v>0</v>
      </c>
      <c r="S8" s="98">
        <f>S26</f>
        <v>0</v>
      </c>
      <c r="T8" s="98">
        <f>R8-S8</f>
        <v>0</v>
      </c>
      <c r="U8" s="133">
        <f>(30%+(0%*(30%)))*104%</f>
        <v>0.312</v>
      </c>
      <c r="V8" s="98">
        <f>T8*U8%</f>
        <v>0</v>
      </c>
      <c r="W8" s="98">
        <f>W26</f>
        <v>0</v>
      </c>
      <c r="X8" s="98">
        <f>X26</f>
        <v>0</v>
      </c>
      <c r="Y8" s="98">
        <f>W8-X8</f>
        <v>0</v>
      </c>
      <c r="Z8" s="133">
        <f>(30%+(0%*(30%)))*104%</f>
        <v>0.312</v>
      </c>
      <c r="AA8" s="98">
        <f>Y8*Z8%</f>
        <v>0</v>
      </c>
      <c r="AB8" s="98">
        <f>AB26</f>
        <v>0</v>
      </c>
      <c r="AC8" s="98">
        <f>AC26</f>
        <v>0</v>
      </c>
      <c r="AD8" s="98">
        <f>AB8-AC8</f>
        <v>0</v>
      </c>
      <c r="AE8" s="133">
        <f>(30%+(0%*(30%)))*104%</f>
        <v>0.312</v>
      </c>
      <c r="AF8" s="98">
        <f>AD8*AE8%</f>
        <v>0</v>
      </c>
    </row>
    <row r="9" spans="1:34" x14ac:dyDescent="0.15">
      <c r="A9" s="127">
        <v>5</v>
      </c>
      <c r="B9" s="129" t="s">
        <v>171</v>
      </c>
      <c r="C9" s="98">
        <f>10000</f>
        <v>10000</v>
      </c>
      <c r="D9" s="98">
        <f>C9/5</f>
        <v>2000</v>
      </c>
      <c r="E9" s="98">
        <f>C9-D9</f>
        <v>8000</v>
      </c>
      <c r="F9" s="133">
        <f>(30%+(0%*(30%)))*104%</f>
        <v>0.312</v>
      </c>
      <c r="G9" s="98">
        <f>E9*F9%</f>
        <v>24.96</v>
      </c>
      <c r="H9" s="98"/>
      <c r="I9" s="98">
        <f>D9</f>
        <v>2000</v>
      </c>
      <c r="J9" s="98">
        <f>H9-I9</f>
        <v>-2000</v>
      </c>
      <c r="K9" s="133">
        <f>(30%+(0%*(30%)))*104%</f>
        <v>0.312</v>
      </c>
      <c r="L9" s="98">
        <f>J9*K9%</f>
        <v>-6.24</v>
      </c>
      <c r="M9" s="98"/>
      <c r="N9" s="98">
        <f>I9</f>
        <v>2000</v>
      </c>
      <c r="O9" s="98">
        <f>M9-N9</f>
        <v>-2000</v>
      </c>
      <c r="P9" s="133">
        <f>(30%+(0%*(30%)))*104%</f>
        <v>0.312</v>
      </c>
      <c r="Q9" s="98">
        <f>O9*P9%</f>
        <v>-6.24</v>
      </c>
      <c r="R9" s="98"/>
      <c r="S9" s="98">
        <f>N9</f>
        <v>2000</v>
      </c>
      <c r="T9" s="98">
        <f>R9-S9</f>
        <v>-2000</v>
      </c>
      <c r="U9" s="133">
        <f>(30%+(0%*(30%)))*104%</f>
        <v>0.312</v>
      </c>
      <c r="V9" s="98">
        <f>T9*U9%</f>
        <v>-6.24</v>
      </c>
      <c r="W9" s="98"/>
      <c r="X9" s="98">
        <f>S9</f>
        <v>2000</v>
      </c>
      <c r="Y9" s="98">
        <f>W9-X9</f>
        <v>-2000</v>
      </c>
      <c r="Z9" s="133">
        <f>(30%+(0%*(30%)))*104%</f>
        <v>0.312</v>
      </c>
      <c r="AA9" s="98">
        <f>Y9*Z9%</f>
        <v>-6.24</v>
      </c>
      <c r="AB9" s="98"/>
      <c r="AC9" s="98">
        <f>X9</f>
        <v>2000</v>
      </c>
      <c r="AD9" s="98">
        <f>AB9-AC9</f>
        <v>-2000</v>
      </c>
      <c r="AE9" s="133">
        <f>(30%+(0%*(30%)))*104%</f>
        <v>0.312</v>
      </c>
      <c r="AF9" s="98">
        <f>AD9*AE9%</f>
        <v>-6.24</v>
      </c>
      <c r="AH9" s="260">
        <f>G9+L9+Q9+AA9+V9+AF9</f>
        <v>-6.240000000000002</v>
      </c>
    </row>
    <row r="10" spans="1:34" ht="21" x14ac:dyDescent="0.15">
      <c r="A10" s="127">
        <v>6</v>
      </c>
      <c r="B10" s="129" t="s">
        <v>81</v>
      </c>
      <c r="C10" s="98">
        <f>C37</f>
        <v>0</v>
      </c>
      <c r="D10" s="98">
        <f>D37</f>
        <v>500000</v>
      </c>
      <c r="E10" s="98">
        <f>D10-C10</f>
        <v>500000</v>
      </c>
      <c r="F10" s="133">
        <f>(30%+(0%*(30%)))*104%</f>
        <v>0.312</v>
      </c>
      <c r="G10" s="98">
        <f>E10*F10%</f>
        <v>1560</v>
      </c>
      <c r="H10" s="98">
        <f>H37</f>
        <v>0</v>
      </c>
      <c r="I10" s="98">
        <f>I37</f>
        <v>2500</v>
      </c>
      <c r="J10" s="98">
        <f>I10-H10</f>
        <v>2500</v>
      </c>
      <c r="K10" s="133">
        <f>(30%+(0%*(30%)))*104%</f>
        <v>0.312</v>
      </c>
      <c r="L10" s="98">
        <f>J10*K10%</f>
        <v>7.8</v>
      </c>
      <c r="M10" s="98">
        <f>M37</f>
        <v>0</v>
      </c>
      <c r="N10" s="98">
        <f>N37</f>
        <v>23455</v>
      </c>
      <c r="O10" s="98">
        <f>N10-M10</f>
        <v>23455</v>
      </c>
      <c r="P10" s="133">
        <f>(30%+(0%*(30%)))*104%</f>
        <v>0.312</v>
      </c>
      <c r="Q10" s="98">
        <f>O10*P10%</f>
        <v>73.179599999999994</v>
      </c>
      <c r="R10" s="98">
        <f>R37</f>
        <v>0</v>
      </c>
      <c r="S10" s="98">
        <f>S37</f>
        <v>673452</v>
      </c>
      <c r="T10" s="98">
        <f>S10-R10</f>
        <v>673452</v>
      </c>
      <c r="U10" s="133">
        <f>(30%+(0%*(30%)))*104%</f>
        <v>0.312</v>
      </c>
      <c r="V10" s="98">
        <f>T10*U10%</f>
        <v>2101.1702399999999</v>
      </c>
      <c r="W10" s="98">
        <f>W37</f>
        <v>0</v>
      </c>
      <c r="X10" s="98">
        <f>X37</f>
        <v>656222</v>
      </c>
      <c r="Y10" s="98">
        <f>X10-W10</f>
        <v>656222</v>
      </c>
      <c r="Z10" s="133">
        <f>(30%+(0%*(30%)))*104%</f>
        <v>0.312</v>
      </c>
      <c r="AA10" s="98">
        <f>Y10*Z10%</f>
        <v>2047.41264</v>
      </c>
      <c r="AB10" s="98">
        <f>AB37</f>
        <v>0</v>
      </c>
      <c r="AC10" s="98">
        <f>AC37</f>
        <v>78687</v>
      </c>
      <c r="AD10" s="98">
        <f>AC10-AB10</f>
        <v>78687</v>
      </c>
      <c r="AE10" s="133">
        <f>(30%+(0%*(30%)))*104%</f>
        <v>0.312</v>
      </c>
      <c r="AF10" s="98">
        <f>AD10*AE10%</f>
        <v>245.50343999999998</v>
      </c>
    </row>
    <row r="11" spans="1:34" x14ac:dyDescent="0.15">
      <c r="A11" s="97"/>
      <c r="B11" s="130"/>
      <c r="C11" s="98"/>
      <c r="D11" s="136"/>
      <c r="E11" s="99"/>
      <c r="F11" s="99"/>
      <c r="G11" s="99"/>
      <c r="H11" s="98"/>
      <c r="I11" s="136"/>
      <c r="J11" s="99"/>
      <c r="K11" s="99"/>
      <c r="L11" s="99"/>
      <c r="M11" s="98"/>
      <c r="N11" s="136"/>
      <c r="O11" s="99"/>
      <c r="P11" s="99"/>
      <c r="Q11" s="99"/>
      <c r="R11" s="98"/>
      <c r="S11" s="136"/>
      <c r="T11" s="99"/>
      <c r="U11" s="99"/>
      <c r="V11" s="99"/>
      <c r="W11" s="98"/>
      <c r="X11" s="136"/>
      <c r="Y11" s="99"/>
      <c r="Z11" s="99"/>
      <c r="AA11" s="99"/>
      <c r="AB11" s="98"/>
      <c r="AC11" s="136"/>
      <c r="AD11" s="99"/>
      <c r="AE11" s="99"/>
      <c r="AF11" s="99"/>
    </row>
    <row r="12" spans="1:34" s="77" customFormat="1" x14ac:dyDescent="0.15">
      <c r="A12" s="261"/>
      <c r="B12" s="262" t="s">
        <v>157</v>
      </c>
      <c r="C12" s="263"/>
      <c r="D12" s="264"/>
      <c r="E12" s="265"/>
      <c r="F12" s="265"/>
      <c r="G12" s="266">
        <f>SUM(G5:G10)</f>
        <v>5960.76</v>
      </c>
      <c r="H12" s="263"/>
      <c r="I12" s="264"/>
      <c r="J12" s="265"/>
      <c r="K12" s="265"/>
      <c r="L12" s="266">
        <f>SUM(L5:L10)</f>
        <v>387.2602116992885</v>
      </c>
      <c r="M12" s="263"/>
      <c r="N12" s="264"/>
      <c r="O12" s="265"/>
      <c r="P12" s="265"/>
      <c r="Q12" s="266">
        <f>SUM(Q5:Q10)</f>
        <v>14091.23221325727</v>
      </c>
      <c r="R12" s="263"/>
      <c r="S12" s="264"/>
      <c r="T12" s="265"/>
      <c r="U12" s="265"/>
      <c r="V12" s="266">
        <f>SUM(V5:V10)</f>
        <v>9434.1633821782216</v>
      </c>
      <c r="W12" s="263"/>
      <c r="X12" s="264"/>
      <c r="Y12" s="265"/>
      <c r="Z12" s="265"/>
      <c r="AA12" s="266">
        <f>SUM(AA5:AA10)</f>
        <v>5405.2858602136375</v>
      </c>
      <c r="AB12" s="263"/>
      <c r="AC12" s="264"/>
      <c r="AD12" s="265"/>
      <c r="AE12" s="265"/>
      <c r="AF12" s="266">
        <f>SUM(AF5:AF10)</f>
        <v>1858.8598887741546</v>
      </c>
    </row>
    <row r="13" spans="1:34" ht="11.25" thickBot="1" x14ac:dyDescent="0.2">
      <c r="A13" s="100"/>
      <c r="B13" s="13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</row>
    <row r="15" spans="1:34" ht="11.25" thickBot="1" x14ac:dyDescent="0.2"/>
    <row r="16" spans="1:34" ht="31.5" x14ac:dyDescent="0.15">
      <c r="A16" s="107">
        <v>2</v>
      </c>
      <c r="B16" s="256" t="s">
        <v>65</v>
      </c>
      <c r="C16" s="105" t="s">
        <v>66</v>
      </c>
      <c r="D16" s="106" t="s">
        <v>67</v>
      </c>
      <c r="E16" s="83"/>
      <c r="H16" s="242" t="s">
        <v>66</v>
      </c>
      <c r="I16" s="106" t="s">
        <v>67</v>
      </c>
      <c r="J16" s="83"/>
      <c r="M16" s="242" t="s">
        <v>66</v>
      </c>
      <c r="N16" s="106" t="s">
        <v>67</v>
      </c>
      <c r="R16" s="242" t="s">
        <v>66</v>
      </c>
      <c r="S16" s="106" t="s">
        <v>67</v>
      </c>
      <c r="W16" s="242" t="s">
        <v>66</v>
      </c>
      <c r="X16" s="106" t="s">
        <v>67</v>
      </c>
      <c r="AB16" s="242" t="s">
        <v>66</v>
      </c>
      <c r="AC16" s="106" t="s">
        <v>67</v>
      </c>
    </row>
    <row r="17" spans="1:29" x14ac:dyDescent="0.15">
      <c r="A17" s="91"/>
      <c r="B17" s="74" t="s">
        <v>68</v>
      </c>
      <c r="C17" s="75"/>
      <c r="D17" s="92"/>
      <c r="E17" s="83"/>
      <c r="H17" s="243"/>
      <c r="I17" s="92"/>
      <c r="J17" s="83"/>
      <c r="M17" s="243"/>
      <c r="N17" s="92"/>
      <c r="R17" s="243"/>
      <c r="S17" s="92"/>
      <c r="W17" s="243"/>
      <c r="X17" s="92"/>
      <c r="AB17" s="243"/>
      <c r="AC17" s="92"/>
    </row>
    <row r="18" spans="1:29" x14ac:dyDescent="0.15">
      <c r="A18" s="93" t="s">
        <v>69</v>
      </c>
      <c r="B18" s="74" t="s">
        <v>70</v>
      </c>
      <c r="C18" s="86">
        <v>1000000</v>
      </c>
      <c r="D18" s="109">
        <f>C18*50%</f>
        <v>500000</v>
      </c>
      <c r="E18" s="83"/>
      <c r="H18" s="244"/>
      <c r="I18" s="109">
        <f>H18*50%</f>
        <v>0</v>
      </c>
      <c r="J18" s="83"/>
      <c r="M18" s="244"/>
      <c r="N18" s="109">
        <f>M18*50%</f>
        <v>0</v>
      </c>
      <c r="R18" s="244"/>
      <c r="S18" s="109">
        <f>R18*50%</f>
        <v>0</v>
      </c>
      <c r="W18" s="244"/>
      <c r="X18" s="109">
        <f>W18*50%</f>
        <v>0</v>
      </c>
      <c r="AB18" s="244"/>
      <c r="AC18" s="109">
        <f>AB18*50%</f>
        <v>0</v>
      </c>
    </row>
    <row r="19" spans="1:29" x14ac:dyDescent="0.15">
      <c r="A19" s="93" t="s">
        <v>71</v>
      </c>
      <c r="B19" s="74" t="s">
        <v>72</v>
      </c>
      <c r="C19" s="86">
        <v>250000</v>
      </c>
      <c r="D19" s="109">
        <f t="shared" ref="D19:D24" si="0">C19*50%</f>
        <v>125000</v>
      </c>
      <c r="E19" s="83"/>
      <c r="H19" s="244"/>
      <c r="I19" s="109">
        <f t="shared" ref="I19:I24" si="1">H19*50%</f>
        <v>0</v>
      </c>
      <c r="J19" s="83"/>
      <c r="M19" s="244"/>
      <c r="N19" s="109">
        <f t="shared" ref="N19:N24" si="2">M19*50%</f>
        <v>0</v>
      </c>
      <c r="R19" s="244"/>
      <c r="S19" s="109">
        <f t="shared" ref="S19:S24" si="3">R19*50%</f>
        <v>0</v>
      </c>
      <c r="W19" s="244"/>
      <c r="X19" s="109">
        <f t="shared" ref="X19:X24" si="4">W19*50%</f>
        <v>0</v>
      </c>
      <c r="AB19" s="244"/>
      <c r="AC19" s="109">
        <f t="shared" ref="AC19:AC24" si="5">AB19*50%</f>
        <v>0</v>
      </c>
    </row>
    <row r="20" spans="1:29" x14ac:dyDescent="0.15">
      <c r="A20" s="93"/>
      <c r="B20" s="96" t="s">
        <v>73</v>
      </c>
      <c r="C20" s="86">
        <v>150000</v>
      </c>
      <c r="D20" s="109">
        <f t="shared" si="0"/>
        <v>75000</v>
      </c>
      <c r="E20" s="83"/>
      <c r="H20" s="244"/>
      <c r="I20" s="109">
        <f t="shared" si="1"/>
        <v>0</v>
      </c>
      <c r="J20" s="83"/>
      <c r="M20" s="244"/>
      <c r="N20" s="109">
        <f t="shared" si="2"/>
        <v>0</v>
      </c>
      <c r="R20" s="244"/>
      <c r="S20" s="109">
        <f t="shared" si="3"/>
        <v>0</v>
      </c>
      <c r="W20" s="244"/>
      <c r="X20" s="109">
        <f t="shared" si="4"/>
        <v>0</v>
      </c>
      <c r="AB20" s="244"/>
      <c r="AC20" s="109">
        <f t="shared" si="5"/>
        <v>0</v>
      </c>
    </row>
    <row r="21" spans="1:29" x14ac:dyDescent="0.15">
      <c r="A21" s="93" t="s">
        <v>74</v>
      </c>
      <c r="B21" s="74" t="s">
        <v>75</v>
      </c>
      <c r="C21" s="86">
        <v>100000</v>
      </c>
      <c r="D21" s="109">
        <f t="shared" si="0"/>
        <v>50000</v>
      </c>
      <c r="E21" s="83"/>
      <c r="H21" s="244"/>
      <c r="I21" s="109">
        <f t="shared" si="1"/>
        <v>0</v>
      </c>
      <c r="J21" s="83"/>
      <c r="M21" s="244"/>
      <c r="N21" s="109">
        <f t="shared" si="2"/>
        <v>0</v>
      </c>
      <c r="R21" s="244"/>
      <c r="S21" s="109">
        <f t="shared" si="3"/>
        <v>0</v>
      </c>
      <c r="W21" s="244"/>
      <c r="X21" s="109">
        <f t="shared" si="4"/>
        <v>0</v>
      </c>
      <c r="AB21" s="244"/>
      <c r="AC21" s="109">
        <f t="shared" si="5"/>
        <v>0</v>
      </c>
    </row>
    <row r="22" spans="1:29" x14ac:dyDescent="0.15">
      <c r="A22" s="93" t="s">
        <v>76</v>
      </c>
      <c r="B22" s="74" t="s">
        <v>77</v>
      </c>
      <c r="C22" s="86">
        <v>50000</v>
      </c>
      <c r="D22" s="109">
        <f t="shared" si="0"/>
        <v>25000</v>
      </c>
      <c r="E22" s="83"/>
      <c r="H22" s="244"/>
      <c r="I22" s="109">
        <f t="shared" si="1"/>
        <v>0</v>
      </c>
      <c r="J22" s="83"/>
      <c r="M22" s="244"/>
      <c r="N22" s="109">
        <f t="shared" si="2"/>
        <v>0</v>
      </c>
      <c r="R22" s="244"/>
      <c r="S22" s="109">
        <f t="shared" si="3"/>
        <v>0</v>
      </c>
      <c r="W22" s="244"/>
      <c r="X22" s="109">
        <f t="shared" si="4"/>
        <v>0</v>
      </c>
      <c r="AB22" s="244"/>
      <c r="AC22" s="109">
        <f t="shared" si="5"/>
        <v>0</v>
      </c>
    </row>
    <row r="23" spans="1:29" x14ac:dyDescent="0.15">
      <c r="A23" s="93" t="s">
        <v>78</v>
      </c>
      <c r="B23" s="74" t="s">
        <v>90</v>
      </c>
      <c r="C23" s="86">
        <v>25000</v>
      </c>
      <c r="D23" s="109">
        <f t="shared" si="0"/>
        <v>12500</v>
      </c>
      <c r="E23" s="83"/>
      <c r="H23" s="244"/>
      <c r="I23" s="109">
        <f t="shared" si="1"/>
        <v>0</v>
      </c>
      <c r="J23" s="83"/>
      <c r="M23" s="244"/>
      <c r="N23" s="109">
        <f t="shared" si="2"/>
        <v>0</v>
      </c>
      <c r="R23" s="244"/>
      <c r="S23" s="109">
        <f t="shared" si="3"/>
        <v>0</v>
      </c>
      <c r="W23" s="244"/>
      <c r="X23" s="109">
        <f t="shared" si="4"/>
        <v>0</v>
      </c>
      <c r="AB23" s="244"/>
      <c r="AC23" s="109">
        <f t="shared" si="5"/>
        <v>0</v>
      </c>
    </row>
    <row r="24" spans="1:29" ht="31.5" x14ac:dyDescent="0.15">
      <c r="A24" s="93" t="s">
        <v>79</v>
      </c>
      <c r="B24" s="85" t="s">
        <v>91</v>
      </c>
      <c r="C24" s="86">
        <v>100000</v>
      </c>
      <c r="D24" s="109">
        <f t="shared" si="0"/>
        <v>50000</v>
      </c>
      <c r="E24" s="83"/>
      <c r="H24" s="244"/>
      <c r="I24" s="109">
        <f t="shared" si="1"/>
        <v>0</v>
      </c>
      <c r="J24" s="83"/>
      <c r="M24" s="244"/>
      <c r="N24" s="109">
        <f t="shared" si="2"/>
        <v>0</v>
      </c>
      <c r="R24" s="244"/>
      <c r="S24" s="109">
        <f t="shared" si="3"/>
        <v>0</v>
      </c>
      <c r="W24" s="244"/>
      <c r="X24" s="109">
        <f t="shared" si="4"/>
        <v>0</v>
      </c>
      <c r="AB24" s="244"/>
      <c r="AC24" s="109">
        <f t="shared" si="5"/>
        <v>0</v>
      </c>
    </row>
    <row r="25" spans="1:29" x14ac:dyDescent="0.15">
      <c r="A25" s="93"/>
      <c r="B25" s="74"/>
      <c r="C25" s="75"/>
      <c r="D25" s="92"/>
      <c r="E25" s="83"/>
      <c r="H25" s="243"/>
      <c r="I25" s="92"/>
      <c r="J25" s="83"/>
      <c r="M25" s="243"/>
      <c r="N25" s="92"/>
      <c r="R25" s="243"/>
      <c r="S25" s="92"/>
      <c r="W25" s="243"/>
      <c r="X25" s="92"/>
      <c r="AB25" s="243"/>
      <c r="AC25" s="92"/>
    </row>
    <row r="26" spans="1:29" x14ac:dyDescent="0.15">
      <c r="A26" s="93"/>
      <c r="B26" s="74" t="s">
        <v>80</v>
      </c>
      <c r="C26" s="108">
        <f>SUM(C18:C24)</f>
        <v>1675000</v>
      </c>
      <c r="D26" s="110">
        <f>SUM(D18:D24)</f>
        <v>837500</v>
      </c>
      <c r="E26" s="83"/>
      <c r="H26" s="245">
        <f>SUM(H18:H24)</f>
        <v>0</v>
      </c>
      <c r="I26" s="110">
        <f>D26</f>
        <v>837500</v>
      </c>
      <c r="J26" s="83"/>
      <c r="M26" s="245">
        <f>SUM(M18:M24)</f>
        <v>0</v>
      </c>
      <c r="N26" s="110">
        <f>SUM(N18:N24)</f>
        <v>0</v>
      </c>
      <c r="R26" s="245">
        <f>SUM(R18:R24)</f>
        <v>0</v>
      </c>
      <c r="S26" s="110">
        <f>SUM(S18:S24)</f>
        <v>0</v>
      </c>
      <c r="W26" s="245">
        <f>SUM(W18:W24)</f>
        <v>0</v>
      </c>
      <c r="X26" s="110">
        <f>SUM(X18:X24)</f>
        <v>0</v>
      </c>
      <c r="AB26" s="245">
        <f>SUM(AB18:AB24)</f>
        <v>0</v>
      </c>
      <c r="AC26" s="110">
        <f>SUM(AC18:AC24)</f>
        <v>0</v>
      </c>
    </row>
    <row r="27" spans="1:29" ht="11.25" thickBot="1" x14ac:dyDescent="0.2">
      <c r="A27" s="93"/>
      <c r="B27" s="74"/>
      <c r="C27" s="75"/>
      <c r="D27" s="92"/>
      <c r="E27" s="83"/>
      <c r="H27" s="246"/>
      <c r="I27" s="95"/>
      <c r="J27" s="83"/>
      <c r="M27" s="246"/>
      <c r="N27" s="95"/>
      <c r="R27" s="246"/>
      <c r="S27" s="95"/>
      <c r="W27" s="246"/>
      <c r="X27" s="95"/>
      <c r="AB27" s="246"/>
      <c r="AC27" s="95"/>
    </row>
    <row r="28" spans="1:29" x14ac:dyDescent="0.15">
      <c r="A28" s="87"/>
      <c r="B28" s="88" t="s">
        <v>81</v>
      </c>
      <c r="C28" s="89"/>
      <c r="D28" s="90"/>
      <c r="E28" s="83"/>
      <c r="H28" s="247"/>
      <c r="I28" s="90"/>
      <c r="J28" s="83"/>
      <c r="M28" s="247"/>
      <c r="N28" s="90"/>
      <c r="R28" s="247"/>
      <c r="S28" s="90"/>
      <c r="W28" s="247"/>
      <c r="X28" s="90"/>
      <c r="AB28" s="247"/>
      <c r="AC28" s="90"/>
    </row>
    <row r="29" spans="1:29" x14ac:dyDescent="0.15">
      <c r="A29" s="93"/>
      <c r="B29" s="74"/>
      <c r="C29" s="75"/>
      <c r="D29" s="92"/>
      <c r="E29" s="83"/>
      <c r="H29" s="243"/>
      <c r="I29" s="92"/>
      <c r="J29" s="83"/>
      <c r="M29" s="243"/>
      <c r="N29" s="92"/>
      <c r="R29" s="243"/>
      <c r="S29" s="92"/>
      <c r="W29" s="243"/>
      <c r="X29" s="92"/>
      <c r="AB29" s="243"/>
      <c r="AC29" s="92"/>
    </row>
    <row r="30" spans="1:29" ht="21" x14ac:dyDescent="0.15">
      <c r="A30" s="93"/>
      <c r="B30" s="84" t="s">
        <v>82</v>
      </c>
      <c r="C30" s="75" t="s">
        <v>39</v>
      </c>
      <c r="D30" s="111" t="s">
        <v>92</v>
      </c>
      <c r="E30" s="83"/>
      <c r="H30" s="243" t="s">
        <v>39</v>
      </c>
      <c r="I30" s="111" t="s">
        <v>92</v>
      </c>
      <c r="J30" s="83"/>
      <c r="M30" s="243" t="s">
        <v>39</v>
      </c>
      <c r="N30" s="111" t="s">
        <v>92</v>
      </c>
      <c r="R30" s="243" t="s">
        <v>39</v>
      </c>
      <c r="S30" s="111" t="s">
        <v>92</v>
      </c>
      <c r="W30" s="243" t="s">
        <v>39</v>
      </c>
      <c r="X30" s="111" t="s">
        <v>92</v>
      </c>
      <c r="AB30" s="243" t="s">
        <v>39</v>
      </c>
      <c r="AC30" s="111" t="s">
        <v>92</v>
      </c>
    </row>
    <row r="31" spans="1:29" x14ac:dyDescent="0.15">
      <c r="A31" s="93"/>
      <c r="B31" s="74"/>
      <c r="C31" s="75"/>
      <c r="D31" s="92"/>
      <c r="E31" s="83"/>
      <c r="H31" s="243"/>
      <c r="I31" s="92"/>
      <c r="J31" s="83"/>
      <c r="M31" s="243"/>
      <c r="N31" s="92"/>
      <c r="R31" s="243"/>
      <c r="S31" s="92"/>
      <c r="W31" s="243"/>
      <c r="X31" s="92"/>
      <c r="AB31" s="243"/>
      <c r="AC31" s="92"/>
    </row>
    <row r="32" spans="1:29" x14ac:dyDescent="0.15">
      <c r="A32" s="93" t="s">
        <v>69</v>
      </c>
      <c r="B32" s="74" t="s">
        <v>83</v>
      </c>
      <c r="C32" s="75">
        <f>COTI!C16</f>
        <v>0</v>
      </c>
      <c r="D32" s="92"/>
      <c r="H32" s="243">
        <f>COTI!E16</f>
        <v>0</v>
      </c>
      <c r="I32" s="92"/>
      <c r="M32" s="243">
        <f>COTI!G16</f>
        <v>0</v>
      </c>
      <c r="N32" s="92"/>
      <c r="R32" s="243">
        <f>COTI!I16</f>
        <v>0</v>
      </c>
      <c r="S32" s="92"/>
      <c r="W32" s="243">
        <f>COTI!K16</f>
        <v>0</v>
      </c>
      <c r="X32" s="92"/>
      <c r="AB32" s="243">
        <f>COTI!M16</f>
        <v>0</v>
      </c>
      <c r="AC32" s="92"/>
    </row>
    <row r="33" spans="1:29" x14ac:dyDescent="0.15">
      <c r="A33" s="93" t="s">
        <v>71</v>
      </c>
      <c r="B33" s="74" t="s">
        <v>84</v>
      </c>
      <c r="C33" s="75"/>
      <c r="D33" s="92"/>
      <c r="E33" s="83"/>
      <c r="H33" s="243"/>
      <c r="I33" s="92"/>
      <c r="J33" s="83"/>
      <c r="M33" s="243"/>
      <c r="N33" s="92"/>
      <c r="R33" s="243"/>
      <c r="S33" s="92"/>
      <c r="W33" s="243"/>
      <c r="X33" s="92"/>
      <c r="AB33" s="243"/>
      <c r="AC33" s="92"/>
    </row>
    <row r="34" spans="1:29" x14ac:dyDescent="0.15">
      <c r="A34" s="93" t="s">
        <v>74</v>
      </c>
      <c r="B34" s="74" t="s">
        <v>85</v>
      </c>
      <c r="C34" s="75">
        <f>COTI!C13</f>
        <v>0</v>
      </c>
      <c r="D34" s="92"/>
      <c r="H34" s="243">
        <f>COTI!E13</f>
        <v>0</v>
      </c>
      <c r="I34" s="92"/>
      <c r="M34" s="243">
        <f>COTI!G13</f>
        <v>0</v>
      </c>
      <c r="N34" s="92"/>
      <c r="R34" s="243">
        <f>COTI!I13</f>
        <v>0</v>
      </c>
      <c r="S34" s="92"/>
      <c r="W34" s="243">
        <f>COTI!K13</f>
        <v>0</v>
      </c>
      <c r="X34" s="92"/>
      <c r="AB34" s="243">
        <f>COTI!M13</f>
        <v>0</v>
      </c>
      <c r="AC34" s="92"/>
    </row>
    <row r="35" spans="1:29" x14ac:dyDescent="0.15">
      <c r="A35" s="93" t="s">
        <v>76</v>
      </c>
      <c r="B35" s="74" t="s">
        <v>86</v>
      </c>
      <c r="C35" s="86">
        <v>0</v>
      </c>
      <c r="D35" s="109">
        <f>COTI!C14</f>
        <v>500000</v>
      </c>
      <c r="E35" s="83"/>
      <c r="H35" s="244"/>
      <c r="I35" s="109">
        <f>COTI!E14</f>
        <v>2500</v>
      </c>
      <c r="J35" s="83"/>
      <c r="M35" s="244"/>
      <c r="N35" s="109">
        <f>COTI!G14</f>
        <v>23455</v>
      </c>
      <c r="R35" s="244"/>
      <c r="S35" s="109">
        <f>COTI!I14</f>
        <v>673452</v>
      </c>
      <c r="W35" s="244"/>
      <c r="X35" s="109">
        <f>COTI!K14</f>
        <v>656222</v>
      </c>
      <c r="AB35" s="244"/>
      <c r="AC35" s="109">
        <f>COTI!M14</f>
        <v>78687</v>
      </c>
    </row>
    <row r="36" spans="1:29" x14ac:dyDescent="0.15">
      <c r="A36" s="93" t="s">
        <v>78</v>
      </c>
      <c r="B36" s="85" t="s">
        <v>87</v>
      </c>
      <c r="C36" s="112"/>
      <c r="D36" s="113"/>
      <c r="E36" s="83"/>
      <c r="H36" s="248"/>
      <c r="I36" s="113"/>
      <c r="J36" s="83"/>
      <c r="M36" s="248"/>
      <c r="N36" s="113"/>
      <c r="R36" s="248"/>
      <c r="S36" s="113"/>
      <c r="W36" s="248"/>
      <c r="X36" s="113"/>
      <c r="AB36" s="248"/>
      <c r="AC36" s="113"/>
    </row>
    <row r="37" spans="1:29" x14ac:dyDescent="0.15">
      <c r="A37" s="93"/>
      <c r="B37" s="74"/>
      <c r="C37" s="86">
        <f>SUM(C32:C36)</f>
        <v>0</v>
      </c>
      <c r="D37" s="109">
        <f>SUM(D32:D36)</f>
        <v>500000</v>
      </c>
      <c r="E37" s="83"/>
      <c r="H37" s="244">
        <f>SUM(H32:H36)</f>
        <v>0</v>
      </c>
      <c r="I37" s="109">
        <f>SUM(I32:I36)</f>
        <v>2500</v>
      </c>
      <c r="J37" s="83"/>
      <c r="M37" s="244">
        <f>SUM(M32:M36)</f>
        <v>0</v>
      </c>
      <c r="N37" s="109">
        <f>SUM(N32:N36)</f>
        <v>23455</v>
      </c>
      <c r="R37" s="244">
        <f>SUM(R32:R36)</f>
        <v>0</v>
      </c>
      <c r="S37" s="109">
        <f>SUM(S32:S36)</f>
        <v>673452</v>
      </c>
      <c r="W37" s="244">
        <f>SUM(W32:W36)</f>
        <v>0</v>
      </c>
      <c r="X37" s="109">
        <f>SUM(X32:X36)</f>
        <v>656222</v>
      </c>
      <c r="AB37" s="244">
        <f>SUM(AB32:AB36)</f>
        <v>0</v>
      </c>
      <c r="AC37" s="109">
        <f>SUM(AC32:AC36)</f>
        <v>78687</v>
      </c>
    </row>
    <row r="38" spans="1:29" ht="11.25" thickBot="1" x14ac:dyDescent="0.2">
      <c r="A38" s="94"/>
      <c r="B38" s="102"/>
      <c r="C38" s="103"/>
      <c r="D38" s="104"/>
      <c r="E38" s="83"/>
      <c r="H38" s="249"/>
      <c r="I38" s="104"/>
      <c r="J38" s="83"/>
      <c r="M38" s="249"/>
      <c r="N38" s="104"/>
      <c r="R38" s="249"/>
      <c r="S38" s="104"/>
      <c r="W38" s="249"/>
      <c r="X38" s="104"/>
      <c r="AB38" s="249"/>
      <c r="AC38" s="104"/>
    </row>
    <row r="39" spans="1:29" x14ac:dyDescent="0.15">
      <c r="A39" s="76"/>
      <c r="B39" s="73"/>
      <c r="C39" s="75"/>
      <c r="D39" s="75"/>
      <c r="E39" s="83"/>
      <c r="H39" s="75"/>
      <c r="I39" s="75"/>
      <c r="J39" s="83"/>
    </row>
    <row r="40" spans="1:29" x14ac:dyDescent="0.15">
      <c r="A40" s="81"/>
      <c r="B40" s="82"/>
      <c r="C40" s="75"/>
      <c r="D40" s="75"/>
      <c r="E40" s="83"/>
      <c r="H40" s="75"/>
      <c r="I40" s="75"/>
      <c r="J40" s="83"/>
    </row>
    <row r="41" spans="1:29" x14ac:dyDescent="0.15">
      <c r="A41" s="81"/>
      <c r="B41" s="82"/>
      <c r="C41" s="83"/>
      <c r="D41" s="75"/>
      <c r="E41" s="75"/>
      <c r="H41" s="83"/>
      <c r="I41" s="75"/>
      <c r="J41" s="75"/>
    </row>
    <row r="42" spans="1:29" x14ac:dyDescent="0.15">
      <c r="A42" s="81"/>
      <c r="B42" s="82"/>
      <c r="C42" s="83"/>
      <c r="D42" s="75"/>
      <c r="E42" s="75"/>
      <c r="H42" s="83"/>
      <c r="I42" s="75"/>
      <c r="J42" s="75"/>
    </row>
    <row r="43" spans="1:29" x14ac:dyDescent="0.15">
      <c r="A43" s="81"/>
      <c r="B43" s="82"/>
      <c r="C43" s="83"/>
      <c r="D43" s="75"/>
      <c r="E43" s="75"/>
      <c r="H43" s="83"/>
      <c r="I43" s="75"/>
      <c r="J43" s="75"/>
    </row>
    <row r="44" spans="1:29" x14ac:dyDescent="0.15">
      <c r="A44" s="81"/>
      <c r="B44" s="82"/>
      <c r="C44" s="83"/>
      <c r="D44" s="75"/>
      <c r="E44" s="75"/>
      <c r="H44" s="83"/>
      <c r="I44" s="75"/>
      <c r="J44" s="75"/>
    </row>
    <row r="45" spans="1:29" x14ac:dyDescent="0.15">
      <c r="A45" s="81"/>
      <c r="B45" s="82"/>
      <c r="C45" s="83"/>
      <c r="D45" s="75"/>
      <c r="E45" s="75"/>
      <c r="H45" s="83"/>
      <c r="I45" s="75"/>
      <c r="J45" s="75"/>
    </row>
    <row r="46" spans="1:29" x14ac:dyDescent="0.15">
      <c r="A46" s="77"/>
      <c r="B46" s="78"/>
      <c r="D46" s="79"/>
      <c r="E46" s="79"/>
      <c r="I46" s="79"/>
      <c r="J46" s="79"/>
    </row>
    <row r="47" spans="1:29" x14ac:dyDescent="0.15">
      <c r="A47" s="77"/>
      <c r="B47" s="78"/>
      <c r="D47" s="79"/>
      <c r="E47" s="79"/>
    </row>
    <row r="48" spans="1:29" x14ac:dyDescent="0.15">
      <c r="A48" s="77"/>
      <c r="B48" s="78"/>
      <c r="D48" s="79"/>
      <c r="E48" s="79"/>
    </row>
    <row r="49" spans="1:5" x14ac:dyDescent="0.15">
      <c r="A49" s="77"/>
      <c r="B49" s="78"/>
      <c r="D49" s="79"/>
      <c r="E49" s="79"/>
    </row>
    <row r="50" spans="1:5" x14ac:dyDescent="0.15">
      <c r="A50" s="77"/>
      <c r="B50" s="78"/>
      <c r="D50" s="79"/>
      <c r="E50" s="79"/>
    </row>
    <row r="51" spans="1:5" x14ac:dyDescent="0.15">
      <c r="A51" s="77"/>
      <c r="B51" s="78"/>
      <c r="D51" s="79"/>
      <c r="E51" s="79"/>
    </row>
    <row r="52" spans="1:5" x14ac:dyDescent="0.15">
      <c r="A52" s="81"/>
      <c r="B52" s="82"/>
      <c r="C52" s="83"/>
      <c r="D52" s="75"/>
      <c r="E52" s="75"/>
    </row>
    <row r="53" spans="1:5" x14ac:dyDescent="0.15">
      <c r="A53" s="81"/>
      <c r="B53" s="82"/>
      <c r="C53" s="83"/>
      <c r="D53" s="75"/>
      <c r="E53" s="75"/>
    </row>
    <row r="54" spans="1:5" x14ac:dyDescent="0.15">
      <c r="A54" s="81"/>
      <c r="B54" s="82"/>
      <c r="C54" s="83"/>
      <c r="D54" s="75"/>
      <c r="E54" s="75"/>
    </row>
    <row r="55" spans="1:5" x14ac:dyDescent="0.15">
      <c r="A55" s="81"/>
      <c r="B55" s="82"/>
      <c r="C55" s="83"/>
      <c r="D55" s="75"/>
      <c r="E55" s="75"/>
    </row>
    <row r="56" spans="1:5" x14ac:dyDescent="0.15">
      <c r="A56" s="81"/>
      <c r="B56" s="82"/>
      <c r="C56" s="83"/>
      <c r="D56" s="75"/>
      <c r="E56" s="75"/>
    </row>
    <row r="57" spans="1:5" x14ac:dyDescent="0.15">
      <c r="A57" s="81"/>
      <c r="B57" s="82"/>
      <c r="C57" s="83"/>
      <c r="D57" s="75"/>
      <c r="E57" s="75"/>
    </row>
  </sheetData>
  <mergeCells count="6">
    <mergeCell ref="AB3:AF3"/>
    <mergeCell ref="C3:G3"/>
    <mergeCell ref="H3:L3"/>
    <mergeCell ref="M3:Q3"/>
    <mergeCell ref="R3:V3"/>
    <mergeCell ref="W3:AA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/>
  </sheetViews>
  <sheetFormatPr defaultRowHeight="10.5" x14ac:dyDescent="0.15"/>
  <cols>
    <col min="1" max="1" width="5.140625" style="58" customWidth="1"/>
    <col min="2" max="2" width="45.7109375" style="58" customWidth="1"/>
    <col min="3" max="3" width="12" style="59" customWidth="1"/>
    <col min="4" max="4" width="12" style="60" customWidth="1"/>
    <col min="5" max="16" width="12" style="57" customWidth="1"/>
    <col min="17" max="251" width="9.140625" style="57"/>
    <col min="252" max="252" width="2" style="57" customWidth="1"/>
    <col min="253" max="253" width="18.42578125" style="57" customWidth="1"/>
    <col min="254" max="254" width="10.7109375" style="57" customWidth="1"/>
    <col min="255" max="255" width="16.85546875" style="57" bestFit="1" customWidth="1"/>
    <col min="256" max="256" width="13.5703125" style="57" customWidth="1"/>
    <col min="257" max="257" width="18.28515625" style="57" customWidth="1"/>
    <col min="258" max="258" width="17" style="57" bestFit="1" customWidth="1"/>
    <col min="259" max="259" width="17.7109375" style="57" bestFit="1" customWidth="1"/>
    <col min="260" max="260" width="2.42578125" style="57" customWidth="1"/>
    <col min="261" max="261" width="10.140625" style="57" bestFit="1" customWidth="1"/>
    <col min="262" max="262" width="16" style="57" customWidth="1"/>
    <col min="263" max="507" width="9.140625" style="57"/>
    <col min="508" max="508" width="2" style="57" customWidth="1"/>
    <col min="509" max="509" width="18.42578125" style="57" customWidth="1"/>
    <col min="510" max="510" width="10.7109375" style="57" customWidth="1"/>
    <col min="511" max="511" width="16.85546875" style="57" bestFit="1" customWidth="1"/>
    <col min="512" max="512" width="13.5703125" style="57" customWidth="1"/>
    <col min="513" max="513" width="18.28515625" style="57" customWidth="1"/>
    <col min="514" max="514" width="17" style="57" bestFit="1" customWidth="1"/>
    <col min="515" max="515" width="17.7109375" style="57" bestFit="1" customWidth="1"/>
    <col min="516" max="516" width="2.42578125" style="57" customWidth="1"/>
    <col min="517" max="517" width="10.140625" style="57" bestFit="1" customWidth="1"/>
    <col min="518" max="518" width="16" style="57" customWidth="1"/>
    <col min="519" max="763" width="9.140625" style="57"/>
    <col min="764" max="764" width="2" style="57" customWidth="1"/>
    <col min="765" max="765" width="18.42578125" style="57" customWidth="1"/>
    <col min="766" max="766" width="10.7109375" style="57" customWidth="1"/>
    <col min="767" max="767" width="16.85546875" style="57" bestFit="1" customWidth="1"/>
    <col min="768" max="768" width="13.5703125" style="57" customWidth="1"/>
    <col min="769" max="769" width="18.28515625" style="57" customWidth="1"/>
    <col min="770" max="770" width="17" style="57" bestFit="1" customWidth="1"/>
    <col min="771" max="771" width="17.7109375" style="57" bestFit="1" customWidth="1"/>
    <col min="772" max="772" width="2.42578125" style="57" customWidth="1"/>
    <col min="773" max="773" width="10.140625" style="57" bestFit="1" customWidth="1"/>
    <col min="774" max="774" width="16" style="57" customWidth="1"/>
    <col min="775" max="1019" width="9.140625" style="57"/>
    <col min="1020" max="1020" width="2" style="57" customWidth="1"/>
    <col min="1021" max="1021" width="18.42578125" style="57" customWidth="1"/>
    <col min="1022" max="1022" width="10.7109375" style="57" customWidth="1"/>
    <col min="1023" max="1023" width="16.85546875" style="57" bestFit="1" customWidth="1"/>
    <col min="1024" max="1024" width="13.5703125" style="57" customWidth="1"/>
    <col min="1025" max="1025" width="18.28515625" style="57" customWidth="1"/>
    <col min="1026" max="1026" width="17" style="57" bestFit="1" customWidth="1"/>
    <col min="1027" max="1027" width="17.7109375" style="57" bestFit="1" customWidth="1"/>
    <col min="1028" max="1028" width="2.42578125" style="57" customWidth="1"/>
    <col min="1029" max="1029" width="10.140625" style="57" bestFit="1" customWidth="1"/>
    <col min="1030" max="1030" width="16" style="57" customWidth="1"/>
    <col min="1031" max="1275" width="9.140625" style="57"/>
    <col min="1276" max="1276" width="2" style="57" customWidth="1"/>
    <col min="1277" max="1277" width="18.42578125" style="57" customWidth="1"/>
    <col min="1278" max="1278" width="10.7109375" style="57" customWidth="1"/>
    <col min="1279" max="1279" width="16.85546875" style="57" bestFit="1" customWidth="1"/>
    <col min="1280" max="1280" width="13.5703125" style="57" customWidth="1"/>
    <col min="1281" max="1281" width="18.28515625" style="57" customWidth="1"/>
    <col min="1282" max="1282" width="17" style="57" bestFit="1" customWidth="1"/>
    <col min="1283" max="1283" width="17.7109375" style="57" bestFit="1" customWidth="1"/>
    <col min="1284" max="1284" width="2.42578125" style="57" customWidth="1"/>
    <col min="1285" max="1285" width="10.140625" style="57" bestFit="1" customWidth="1"/>
    <col min="1286" max="1286" width="16" style="57" customWidth="1"/>
    <col min="1287" max="1531" width="9.140625" style="57"/>
    <col min="1532" max="1532" width="2" style="57" customWidth="1"/>
    <col min="1533" max="1533" width="18.42578125" style="57" customWidth="1"/>
    <col min="1534" max="1534" width="10.7109375" style="57" customWidth="1"/>
    <col min="1535" max="1535" width="16.85546875" style="57" bestFit="1" customWidth="1"/>
    <col min="1536" max="1536" width="13.5703125" style="57" customWidth="1"/>
    <col min="1537" max="1537" width="18.28515625" style="57" customWidth="1"/>
    <col min="1538" max="1538" width="17" style="57" bestFit="1" customWidth="1"/>
    <col min="1539" max="1539" width="17.7109375" style="57" bestFit="1" customWidth="1"/>
    <col min="1540" max="1540" width="2.42578125" style="57" customWidth="1"/>
    <col min="1541" max="1541" width="10.140625" style="57" bestFit="1" customWidth="1"/>
    <col min="1542" max="1542" width="16" style="57" customWidth="1"/>
    <col min="1543" max="1787" width="9.140625" style="57"/>
    <col min="1788" max="1788" width="2" style="57" customWidth="1"/>
    <col min="1789" max="1789" width="18.42578125" style="57" customWidth="1"/>
    <col min="1790" max="1790" width="10.7109375" style="57" customWidth="1"/>
    <col min="1791" max="1791" width="16.85546875" style="57" bestFit="1" customWidth="1"/>
    <col min="1792" max="1792" width="13.5703125" style="57" customWidth="1"/>
    <col min="1793" max="1793" width="18.28515625" style="57" customWidth="1"/>
    <col min="1794" max="1794" width="17" style="57" bestFit="1" customWidth="1"/>
    <col min="1795" max="1795" width="17.7109375" style="57" bestFit="1" customWidth="1"/>
    <col min="1796" max="1796" width="2.42578125" style="57" customWidth="1"/>
    <col min="1797" max="1797" width="10.140625" style="57" bestFit="1" customWidth="1"/>
    <col min="1798" max="1798" width="16" style="57" customWidth="1"/>
    <col min="1799" max="2043" width="9.140625" style="57"/>
    <col min="2044" max="2044" width="2" style="57" customWidth="1"/>
    <col min="2045" max="2045" width="18.42578125" style="57" customWidth="1"/>
    <col min="2046" max="2046" width="10.7109375" style="57" customWidth="1"/>
    <col min="2047" max="2047" width="16.85546875" style="57" bestFit="1" customWidth="1"/>
    <col min="2048" max="2048" width="13.5703125" style="57" customWidth="1"/>
    <col min="2049" max="2049" width="18.28515625" style="57" customWidth="1"/>
    <col min="2050" max="2050" width="17" style="57" bestFit="1" customWidth="1"/>
    <col min="2051" max="2051" width="17.7109375" style="57" bestFit="1" customWidth="1"/>
    <col min="2052" max="2052" width="2.42578125" style="57" customWidth="1"/>
    <col min="2053" max="2053" width="10.140625" style="57" bestFit="1" customWidth="1"/>
    <col min="2054" max="2054" width="16" style="57" customWidth="1"/>
    <col min="2055" max="2299" width="9.140625" style="57"/>
    <col min="2300" max="2300" width="2" style="57" customWidth="1"/>
    <col min="2301" max="2301" width="18.42578125" style="57" customWidth="1"/>
    <col min="2302" max="2302" width="10.7109375" style="57" customWidth="1"/>
    <col min="2303" max="2303" width="16.85546875" style="57" bestFit="1" customWidth="1"/>
    <col min="2304" max="2304" width="13.5703125" style="57" customWidth="1"/>
    <col min="2305" max="2305" width="18.28515625" style="57" customWidth="1"/>
    <col min="2306" max="2306" width="17" style="57" bestFit="1" customWidth="1"/>
    <col min="2307" max="2307" width="17.7109375" style="57" bestFit="1" customWidth="1"/>
    <col min="2308" max="2308" width="2.42578125" style="57" customWidth="1"/>
    <col min="2309" max="2309" width="10.140625" style="57" bestFit="1" customWidth="1"/>
    <col min="2310" max="2310" width="16" style="57" customWidth="1"/>
    <col min="2311" max="2555" width="9.140625" style="57"/>
    <col min="2556" max="2556" width="2" style="57" customWidth="1"/>
    <col min="2557" max="2557" width="18.42578125" style="57" customWidth="1"/>
    <col min="2558" max="2558" width="10.7109375" style="57" customWidth="1"/>
    <col min="2559" max="2559" width="16.85546875" style="57" bestFit="1" customWidth="1"/>
    <col min="2560" max="2560" width="13.5703125" style="57" customWidth="1"/>
    <col min="2561" max="2561" width="18.28515625" style="57" customWidth="1"/>
    <col min="2562" max="2562" width="17" style="57" bestFit="1" customWidth="1"/>
    <col min="2563" max="2563" width="17.7109375" style="57" bestFit="1" customWidth="1"/>
    <col min="2564" max="2564" width="2.42578125" style="57" customWidth="1"/>
    <col min="2565" max="2565" width="10.140625" style="57" bestFit="1" customWidth="1"/>
    <col min="2566" max="2566" width="16" style="57" customWidth="1"/>
    <col min="2567" max="2811" width="9.140625" style="57"/>
    <col min="2812" max="2812" width="2" style="57" customWidth="1"/>
    <col min="2813" max="2813" width="18.42578125" style="57" customWidth="1"/>
    <col min="2814" max="2814" width="10.7109375" style="57" customWidth="1"/>
    <col min="2815" max="2815" width="16.85546875" style="57" bestFit="1" customWidth="1"/>
    <col min="2816" max="2816" width="13.5703125" style="57" customWidth="1"/>
    <col min="2817" max="2817" width="18.28515625" style="57" customWidth="1"/>
    <col min="2818" max="2818" width="17" style="57" bestFit="1" customWidth="1"/>
    <col min="2819" max="2819" width="17.7109375" style="57" bestFit="1" customWidth="1"/>
    <col min="2820" max="2820" width="2.42578125" style="57" customWidth="1"/>
    <col min="2821" max="2821" width="10.140625" style="57" bestFit="1" customWidth="1"/>
    <col min="2822" max="2822" width="16" style="57" customWidth="1"/>
    <col min="2823" max="3067" width="9.140625" style="57"/>
    <col min="3068" max="3068" width="2" style="57" customWidth="1"/>
    <col min="3069" max="3069" width="18.42578125" style="57" customWidth="1"/>
    <col min="3070" max="3070" width="10.7109375" style="57" customWidth="1"/>
    <col min="3071" max="3071" width="16.85546875" style="57" bestFit="1" customWidth="1"/>
    <col min="3072" max="3072" width="13.5703125" style="57" customWidth="1"/>
    <col min="3073" max="3073" width="18.28515625" style="57" customWidth="1"/>
    <col min="3074" max="3074" width="17" style="57" bestFit="1" customWidth="1"/>
    <col min="3075" max="3075" width="17.7109375" style="57" bestFit="1" customWidth="1"/>
    <col min="3076" max="3076" width="2.42578125" style="57" customWidth="1"/>
    <col min="3077" max="3077" width="10.140625" style="57" bestFit="1" customWidth="1"/>
    <col min="3078" max="3078" width="16" style="57" customWidth="1"/>
    <col min="3079" max="3323" width="9.140625" style="57"/>
    <col min="3324" max="3324" width="2" style="57" customWidth="1"/>
    <col min="3325" max="3325" width="18.42578125" style="57" customWidth="1"/>
    <col min="3326" max="3326" width="10.7109375" style="57" customWidth="1"/>
    <col min="3327" max="3327" width="16.85546875" style="57" bestFit="1" customWidth="1"/>
    <col min="3328" max="3328" width="13.5703125" style="57" customWidth="1"/>
    <col min="3329" max="3329" width="18.28515625" style="57" customWidth="1"/>
    <col min="3330" max="3330" width="17" style="57" bestFit="1" customWidth="1"/>
    <col min="3331" max="3331" width="17.7109375" style="57" bestFit="1" customWidth="1"/>
    <col min="3332" max="3332" width="2.42578125" style="57" customWidth="1"/>
    <col min="3333" max="3333" width="10.140625" style="57" bestFit="1" customWidth="1"/>
    <col min="3334" max="3334" width="16" style="57" customWidth="1"/>
    <col min="3335" max="3579" width="9.140625" style="57"/>
    <col min="3580" max="3580" width="2" style="57" customWidth="1"/>
    <col min="3581" max="3581" width="18.42578125" style="57" customWidth="1"/>
    <col min="3582" max="3582" width="10.7109375" style="57" customWidth="1"/>
    <col min="3583" max="3583" width="16.85546875" style="57" bestFit="1" customWidth="1"/>
    <col min="3584" max="3584" width="13.5703125" style="57" customWidth="1"/>
    <col min="3585" max="3585" width="18.28515625" style="57" customWidth="1"/>
    <col min="3586" max="3586" width="17" style="57" bestFit="1" customWidth="1"/>
    <col min="3587" max="3587" width="17.7109375" style="57" bestFit="1" customWidth="1"/>
    <col min="3588" max="3588" width="2.42578125" style="57" customWidth="1"/>
    <col min="3589" max="3589" width="10.140625" style="57" bestFit="1" customWidth="1"/>
    <col min="3590" max="3590" width="16" style="57" customWidth="1"/>
    <col min="3591" max="3835" width="9.140625" style="57"/>
    <col min="3836" max="3836" width="2" style="57" customWidth="1"/>
    <col min="3837" max="3837" width="18.42578125" style="57" customWidth="1"/>
    <col min="3838" max="3838" width="10.7109375" style="57" customWidth="1"/>
    <col min="3839" max="3839" width="16.85546875" style="57" bestFit="1" customWidth="1"/>
    <col min="3840" max="3840" width="13.5703125" style="57" customWidth="1"/>
    <col min="3841" max="3841" width="18.28515625" style="57" customWidth="1"/>
    <col min="3842" max="3842" width="17" style="57" bestFit="1" customWidth="1"/>
    <col min="3843" max="3843" width="17.7109375" style="57" bestFit="1" customWidth="1"/>
    <col min="3844" max="3844" width="2.42578125" style="57" customWidth="1"/>
    <col min="3845" max="3845" width="10.140625" style="57" bestFit="1" customWidth="1"/>
    <col min="3846" max="3846" width="16" style="57" customWidth="1"/>
    <col min="3847" max="4091" width="9.140625" style="57"/>
    <col min="4092" max="4092" width="2" style="57" customWidth="1"/>
    <col min="4093" max="4093" width="18.42578125" style="57" customWidth="1"/>
    <col min="4094" max="4094" width="10.7109375" style="57" customWidth="1"/>
    <col min="4095" max="4095" width="16.85546875" style="57" bestFit="1" customWidth="1"/>
    <col min="4096" max="4096" width="13.5703125" style="57" customWidth="1"/>
    <col min="4097" max="4097" width="18.28515625" style="57" customWidth="1"/>
    <col min="4098" max="4098" width="17" style="57" bestFit="1" customWidth="1"/>
    <col min="4099" max="4099" width="17.7109375" style="57" bestFit="1" customWidth="1"/>
    <col min="4100" max="4100" width="2.42578125" style="57" customWidth="1"/>
    <col min="4101" max="4101" width="10.140625" style="57" bestFit="1" customWidth="1"/>
    <col min="4102" max="4102" width="16" style="57" customWidth="1"/>
    <col min="4103" max="4347" width="9.140625" style="57"/>
    <col min="4348" max="4348" width="2" style="57" customWidth="1"/>
    <col min="4349" max="4349" width="18.42578125" style="57" customWidth="1"/>
    <col min="4350" max="4350" width="10.7109375" style="57" customWidth="1"/>
    <col min="4351" max="4351" width="16.85546875" style="57" bestFit="1" customWidth="1"/>
    <col min="4352" max="4352" width="13.5703125" style="57" customWidth="1"/>
    <col min="4353" max="4353" width="18.28515625" style="57" customWidth="1"/>
    <col min="4354" max="4354" width="17" style="57" bestFit="1" customWidth="1"/>
    <col min="4355" max="4355" width="17.7109375" style="57" bestFit="1" customWidth="1"/>
    <col min="4356" max="4356" width="2.42578125" style="57" customWidth="1"/>
    <col min="4357" max="4357" width="10.140625" style="57" bestFit="1" customWidth="1"/>
    <col min="4358" max="4358" width="16" style="57" customWidth="1"/>
    <col min="4359" max="4603" width="9.140625" style="57"/>
    <col min="4604" max="4604" width="2" style="57" customWidth="1"/>
    <col min="4605" max="4605" width="18.42578125" style="57" customWidth="1"/>
    <col min="4606" max="4606" width="10.7109375" style="57" customWidth="1"/>
    <col min="4607" max="4607" width="16.85546875" style="57" bestFit="1" customWidth="1"/>
    <col min="4608" max="4608" width="13.5703125" style="57" customWidth="1"/>
    <col min="4609" max="4609" width="18.28515625" style="57" customWidth="1"/>
    <col min="4610" max="4610" width="17" style="57" bestFit="1" customWidth="1"/>
    <col min="4611" max="4611" width="17.7109375" style="57" bestFit="1" customWidth="1"/>
    <col min="4612" max="4612" width="2.42578125" style="57" customWidth="1"/>
    <col min="4613" max="4613" width="10.140625" style="57" bestFit="1" customWidth="1"/>
    <col min="4614" max="4614" width="16" style="57" customWidth="1"/>
    <col min="4615" max="4859" width="9.140625" style="57"/>
    <col min="4860" max="4860" width="2" style="57" customWidth="1"/>
    <col min="4861" max="4861" width="18.42578125" style="57" customWidth="1"/>
    <col min="4862" max="4862" width="10.7109375" style="57" customWidth="1"/>
    <col min="4863" max="4863" width="16.85546875" style="57" bestFit="1" customWidth="1"/>
    <col min="4864" max="4864" width="13.5703125" style="57" customWidth="1"/>
    <col min="4865" max="4865" width="18.28515625" style="57" customWidth="1"/>
    <col min="4866" max="4866" width="17" style="57" bestFit="1" customWidth="1"/>
    <col min="4867" max="4867" width="17.7109375" style="57" bestFit="1" customWidth="1"/>
    <col min="4868" max="4868" width="2.42578125" style="57" customWidth="1"/>
    <col min="4869" max="4869" width="10.140625" style="57" bestFit="1" customWidth="1"/>
    <col min="4870" max="4870" width="16" style="57" customWidth="1"/>
    <col min="4871" max="5115" width="9.140625" style="57"/>
    <col min="5116" max="5116" width="2" style="57" customWidth="1"/>
    <col min="5117" max="5117" width="18.42578125" style="57" customWidth="1"/>
    <col min="5118" max="5118" width="10.7109375" style="57" customWidth="1"/>
    <col min="5119" max="5119" width="16.85546875" style="57" bestFit="1" customWidth="1"/>
    <col min="5120" max="5120" width="13.5703125" style="57" customWidth="1"/>
    <col min="5121" max="5121" width="18.28515625" style="57" customWidth="1"/>
    <col min="5122" max="5122" width="17" style="57" bestFit="1" customWidth="1"/>
    <col min="5123" max="5123" width="17.7109375" style="57" bestFit="1" customWidth="1"/>
    <col min="5124" max="5124" width="2.42578125" style="57" customWidth="1"/>
    <col min="5125" max="5125" width="10.140625" style="57" bestFit="1" customWidth="1"/>
    <col min="5126" max="5126" width="16" style="57" customWidth="1"/>
    <col min="5127" max="5371" width="9.140625" style="57"/>
    <col min="5372" max="5372" width="2" style="57" customWidth="1"/>
    <col min="5373" max="5373" width="18.42578125" style="57" customWidth="1"/>
    <col min="5374" max="5374" width="10.7109375" style="57" customWidth="1"/>
    <col min="5375" max="5375" width="16.85546875" style="57" bestFit="1" customWidth="1"/>
    <col min="5376" max="5376" width="13.5703125" style="57" customWidth="1"/>
    <col min="5377" max="5377" width="18.28515625" style="57" customWidth="1"/>
    <col min="5378" max="5378" width="17" style="57" bestFit="1" customWidth="1"/>
    <col min="5379" max="5379" width="17.7109375" style="57" bestFit="1" customWidth="1"/>
    <col min="5380" max="5380" width="2.42578125" style="57" customWidth="1"/>
    <col min="5381" max="5381" width="10.140625" style="57" bestFit="1" customWidth="1"/>
    <col min="5382" max="5382" width="16" style="57" customWidth="1"/>
    <col min="5383" max="5627" width="9.140625" style="57"/>
    <col min="5628" max="5628" width="2" style="57" customWidth="1"/>
    <col min="5629" max="5629" width="18.42578125" style="57" customWidth="1"/>
    <col min="5630" max="5630" width="10.7109375" style="57" customWidth="1"/>
    <col min="5631" max="5631" width="16.85546875" style="57" bestFit="1" customWidth="1"/>
    <col min="5632" max="5632" width="13.5703125" style="57" customWidth="1"/>
    <col min="5633" max="5633" width="18.28515625" style="57" customWidth="1"/>
    <col min="5634" max="5634" width="17" style="57" bestFit="1" customWidth="1"/>
    <col min="5635" max="5635" width="17.7109375" style="57" bestFit="1" customWidth="1"/>
    <col min="5636" max="5636" width="2.42578125" style="57" customWidth="1"/>
    <col min="5637" max="5637" width="10.140625" style="57" bestFit="1" customWidth="1"/>
    <col min="5638" max="5638" width="16" style="57" customWidth="1"/>
    <col min="5639" max="5883" width="9.140625" style="57"/>
    <col min="5884" max="5884" width="2" style="57" customWidth="1"/>
    <col min="5885" max="5885" width="18.42578125" style="57" customWidth="1"/>
    <col min="5886" max="5886" width="10.7109375" style="57" customWidth="1"/>
    <col min="5887" max="5887" width="16.85546875" style="57" bestFit="1" customWidth="1"/>
    <col min="5888" max="5888" width="13.5703125" style="57" customWidth="1"/>
    <col min="5889" max="5889" width="18.28515625" style="57" customWidth="1"/>
    <col min="5890" max="5890" width="17" style="57" bestFit="1" customWidth="1"/>
    <col min="5891" max="5891" width="17.7109375" style="57" bestFit="1" customWidth="1"/>
    <col min="5892" max="5892" width="2.42578125" style="57" customWidth="1"/>
    <col min="5893" max="5893" width="10.140625" style="57" bestFit="1" customWidth="1"/>
    <col min="5894" max="5894" width="16" style="57" customWidth="1"/>
    <col min="5895" max="6139" width="9.140625" style="57"/>
    <col min="6140" max="6140" width="2" style="57" customWidth="1"/>
    <col min="6141" max="6141" width="18.42578125" style="57" customWidth="1"/>
    <col min="6142" max="6142" width="10.7109375" style="57" customWidth="1"/>
    <col min="6143" max="6143" width="16.85546875" style="57" bestFit="1" customWidth="1"/>
    <col min="6144" max="6144" width="13.5703125" style="57" customWidth="1"/>
    <col min="6145" max="6145" width="18.28515625" style="57" customWidth="1"/>
    <col min="6146" max="6146" width="17" style="57" bestFit="1" customWidth="1"/>
    <col min="6147" max="6147" width="17.7109375" style="57" bestFit="1" customWidth="1"/>
    <col min="6148" max="6148" width="2.42578125" style="57" customWidth="1"/>
    <col min="6149" max="6149" width="10.140625" style="57" bestFit="1" customWidth="1"/>
    <col min="6150" max="6150" width="16" style="57" customWidth="1"/>
    <col min="6151" max="6395" width="9.140625" style="57"/>
    <col min="6396" max="6396" width="2" style="57" customWidth="1"/>
    <col min="6397" max="6397" width="18.42578125" style="57" customWidth="1"/>
    <col min="6398" max="6398" width="10.7109375" style="57" customWidth="1"/>
    <col min="6399" max="6399" width="16.85546875" style="57" bestFit="1" customWidth="1"/>
    <col min="6400" max="6400" width="13.5703125" style="57" customWidth="1"/>
    <col min="6401" max="6401" width="18.28515625" style="57" customWidth="1"/>
    <col min="6402" max="6402" width="17" style="57" bestFit="1" customWidth="1"/>
    <col min="6403" max="6403" width="17.7109375" style="57" bestFit="1" customWidth="1"/>
    <col min="6404" max="6404" width="2.42578125" style="57" customWidth="1"/>
    <col min="6405" max="6405" width="10.140625" style="57" bestFit="1" customWidth="1"/>
    <col min="6406" max="6406" width="16" style="57" customWidth="1"/>
    <col min="6407" max="6651" width="9.140625" style="57"/>
    <col min="6652" max="6652" width="2" style="57" customWidth="1"/>
    <col min="6653" max="6653" width="18.42578125" style="57" customWidth="1"/>
    <col min="6654" max="6654" width="10.7109375" style="57" customWidth="1"/>
    <col min="6655" max="6655" width="16.85546875" style="57" bestFit="1" customWidth="1"/>
    <col min="6656" max="6656" width="13.5703125" style="57" customWidth="1"/>
    <col min="6657" max="6657" width="18.28515625" style="57" customWidth="1"/>
    <col min="6658" max="6658" width="17" style="57" bestFit="1" customWidth="1"/>
    <col min="6659" max="6659" width="17.7109375" style="57" bestFit="1" customWidth="1"/>
    <col min="6660" max="6660" width="2.42578125" style="57" customWidth="1"/>
    <col min="6661" max="6661" width="10.140625" style="57" bestFit="1" customWidth="1"/>
    <col min="6662" max="6662" width="16" style="57" customWidth="1"/>
    <col min="6663" max="6907" width="9.140625" style="57"/>
    <col min="6908" max="6908" width="2" style="57" customWidth="1"/>
    <col min="6909" max="6909" width="18.42578125" style="57" customWidth="1"/>
    <col min="6910" max="6910" width="10.7109375" style="57" customWidth="1"/>
    <col min="6911" max="6911" width="16.85546875" style="57" bestFit="1" customWidth="1"/>
    <col min="6912" max="6912" width="13.5703125" style="57" customWidth="1"/>
    <col min="6913" max="6913" width="18.28515625" style="57" customWidth="1"/>
    <col min="6914" max="6914" width="17" style="57" bestFit="1" customWidth="1"/>
    <col min="6915" max="6915" width="17.7109375" style="57" bestFit="1" customWidth="1"/>
    <col min="6916" max="6916" width="2.42578125" style="57" customWidth="1"/>
    <col min="6917" max="6917" width="10.140625" style="57" bestFit="1" customWidth="1"/>
    <col min="6918" max="6918" width="16" style="57" customWidth="1"/>
    <col min="6919" max="7163" width="9.140625" style="57"/>
    <col min="7164" max="7164" width="2" style="57" customWidth="1"/>
    <col min="7165" max="7165" width="18.42578125" style="57" customWidth="1"/>
    <col min="7166" max="7166" width="10.7109375" style="57" customWidth="1"/>
    <col min="7167" max="7167" width="16.85546875" style="57" bestFit="1" customWidth="1"/>
    <col min="7168" max="7168" width="13.5703125" style="57" customWidth="1"/>
    <col min="7169" max="7169" width="18.28515625" style="57" customWidth="1"/>
    <col min="7170" max="7170" width="17" style="57" bestFit="1" customWidth="1"/>
    <col min="7171" max="7171" width="17.7109375" style="57" bestFit="1" customWidth="1"/>
    <col min="7172" max="7172" width="2.42578125" style="57" customWidth="1"/>
    <col min="7173" max="7173" width="10.140625" style="57" bestFit="1" customWidth="1"/>
    <col min="7174" max="7174" width="16" style="57" customWidth="1"/>
    <col min="7175" max="7419" width="9.140625" style="57"/>
    <col min="7420" max="7420" width="2" style="57" customWidth="1"/>
    <col min="7421" max="7421" width="18.42578125" style="57" customWidth="1"/>
    <col min="7422" max="7422" width="10.7109375" style="57" customWidth="1"/>
    <col min="7423" max="7423" width="16.85546875" style="57" bestFit="1" customWidth="1"/>
    <col min="7424" max="7424" width="13.5703125" style="57" customWidth="1"/>
    <col min="7425" max="7425" width="18.28515625" style="57" customWidth="1"/>
    <col min="7426" max="7426" width="17" style="57" bestFit="1" customWidth="1"/>
    <col min="7427" max="7427" width="17.7109375" style="57" bestFit="1" customWidth="1"/>
    <col min="7428" max="7428" width="2.42578125" style="57" customWidth="1"/>
    <col min="7429" max="7429" width="10.140625" style="57" bestFit="1" customWidth="1"/>
    <col min="7430" max="7430" width="16" style="57" customWidth="1"/>
    <col min="7431" max="7675" width="9.140625" style="57"/>
    <col min="7676" max="7676" width="2" style="57" customWidth="1"/>
    <col min="7677" max="7677" width="18.42578125" style="57" customWidth="1"/>
    <col min="7678" max="7678" width="10.7109375" style="57" customWidth="1"/>
    <col min="7679" max="7679" width="16.85546875" style="57" bestFit="1" customWidth="1"/>
    <col min="7680" max="7680" width="13.5703125" style="57" customWidth="1"/>
    <col min="7681" max="7681" width="18.28515625" style="57" customWidth="1"/>
    <col min="7682" max="7682" width="17" style="57" bestFit="1" customWidth="1"/>
    <col min="7683" max="7683" width="17.7109375" style="57" bestFit="1" customWidth="1"/>
    <col min="7684" max="7684" width="2.42578125" style="57" customWidth="1"/>
    <col min="7685" max="7685" width="10.140625" style="57" bestFit="1" customWidth="1"/>
    <col min="7686" max="7686" width="16" style="57" customWidth="1"/>
    <col min="7687" max="7931" width="9.140625" style="57"/>
    <col min="7932" max="7932" width="2" style="57" customWidth="1"/>
    <col min="7933" max="7933" width="18.42578125" style="57" customWidth="1"/>
    <col min="7934" max="7934" width="10.7109375" style="57" customWidth="1"/>
    <col min="7935" max="7935" width="16.85546875" style="57" bestFit="1" customWidth="1"/>
    <col min="7936" max="7936" width="13.5703125" style="57" customWidth="1"/>
    <col min="7937" max="7937" width="18.28515625" style="57" customWidth="1"/>
    <col min="7938" max="7938" width="17" style="57" bestFit="1" customWidth="1"/>
    <col min="7939" max="7939" width="17.7109375" style="57" bestFit="1" customWidth="1"/>
    <col min="7940" max="7940" width="2.42578125" style="57" customWidth="1"/>
    <col min="7941" max="7941" width="10.140625" style="57" bestFit="1" customWidth="1"/>
    <col min="7942" max="7942" width="16" style="57" customWidth="1"/>
    <col min="7943" max="8187" width="9.140625" style="57"/>
    <col min="8188" max="8188" width="2" style="57" customWidth="1"/>
    <col min="8189" max="8189" width="18.42578125" style="57" customWidth="1"/>
    <col min="8190" max="8190" width="10.7109375" style="57" customWidth="1"/>
    <col min="8191" max="8191" width="16.85546875" style="57" bestFit="1" customWidth="1"/>
    <col min="8192" max="8192" width="13.5703125" style="57" customWidth="1"/>
    <col min="8193" max="8193" width="18.28515625" style="57" customWidth="1"/>
    <col min="8194" max="8194" width="17" style="57" bestFit="1" customWidth="1"/>
    <col min="8195" max="8195" width="17.7109375" style="57" bestFit="1" customWidth="1"/>
    <col min="8196" max="8196" width="2.42578125" style="57" customWidth="1"/>
    <col min="8197" max="8197" width="10.140625" style="57" bestFit="1" customWidth="1"/>
    <col min="8198" max="8198" width="16" style="57" customWidth="1"/>
    <col min="8199" max="8443" width="9.140625" style="57"/>
    <col min="8444" max="8444" width="2" style="57" customWidth="1"/>
    <col min="8445" max="8445" width="18.42578125" style="57" customWidth="1"/>
    <col min="8446" max="8446" width="10.7109375" style="57" customWidth="1"/>
    <col min="8447" max="8447" width="16.85546875" style="57" bestFit="1" customWidth="1"/>
    <col min="8448" max="8448" width="13.5703125" style="57" customWidth="1"/>
    <col min="8449" max="8449" width="18.28515625" style="57" customWidth="1"/>
    <col min="8450" max="8450" width="17" style="57" bestFit="1" customWidth="1"/>
    <col min="8451" max="8451" width="17.7109375" style="57" bestFit="1" customWidth="1"/>
    <col min="8452" max="8452" width="2.42578125" style="57" customWidth="1"/>
    <col min="8453" max="8453" width="10.140625" style="57" bestFit="1" customWidth="1"/>
    <col min="8454" max="8454" width="16" style="57" customWidth="1"/>
    <col min="8455" max="8699" width="9.140625" style="57"/>
    <col min="8700" max="8700" width="2" style="57" customWidth="1"/>
    <col min="8701" max="8701" width="18.42578125" style="57" customWidth="1"/>
    <col min="8702" max="8702" width="10.7109375" style="57" customWidth="1"/>
    <col min="8703" max="8703" width="16.85546875" style="57" bestFit="1" customWidth="1"/>
    <col min="8704" max="8704" width="13.5703125" style="57" customWidth="1"/>
    <col min="8705" max="8705" width="18.28515625" style="57" customWidth="1"/>
    <col min="8706" max="8706" width="17" style="57" bestFit="1" customWidth="1"/>
    <col min="8707" max="8707" width="17.7109375" style="57" bestFit="1" customWidth="1"/>
    <col min="8708" max="8708" width="2.42578125" style="57" customWidth="1"/>
    <col min="8709" max="8709" width="10.140625" style="57" bestFit="1" customWidth="1"/>
    <col min="8710" max="8710" width="16" style="57" customWidth="1"/>
    <col min="8711" max="8955" width="9.140625" style="57"/>
    <col min="8956" max="8956" width="2" style="57" customWidth="1"/>
    <col min="8957" max="8957" width="18.42578125" style="57" customWidth="1"/>
    <col min="8958" max="8958" width="10.7109375" style="57" customWidth="1"/>
    <col min="8959" max="8959" width="16.85546875" style="57" bestFit="1" customWidth="1"/>
    <col min="8960" max="8960" width="13.5703125" style="57" customWidth="1"/>
    <col min="8961" max="8961" width="18.28515625" style="57" customWidth="1"/>
    <col min="8962" max="8962" width="17" style="57" bestFit="1" customWidth="1"/>
    <col min="8963" max="8963" width="17.7109375" style="57" bestFit="1" customWidth="1"/>
    <col min="8964" max="8964" width="2.42578125" style="57" customWidth="1"/>
    <col min="8965" max="8965" width="10.140625" style="57" bestFit="1" customWidth="1"/>
    <col min="8966" max="8966" width="16" style="57" customWidth="1"/>
    <col min="8967" max="9211" width="9.140625" style="57"/>
    <col min="9212" max="9212" width="2" style="57" customWidth="1"/>
    <col min="9213" max="9213" width="18.42578125" style="57" customWidth="1"/>
    <col min="9214" max="9214" width="10.7109375" style="57" customWidth="1"/>
    <col min="9215" max="9215" width="16.85546875" style="57" bestFit="1" customWidth="1"/>
    <col min="9216" max="9216" width="13.5703125" style="57" customWidth="1"/>
    <col min="9217" max="9217" width="18.28515625" style="57" customWidth="1"/>
    <col min="9218" max="9218" width="17" style="57" bestFit="1" customWidth="1"/>
    <col min="9219" max="9219" width="17.7109375" style="57" bestFit="1" customWidth="1"/>
    <col min="9220" max="9220" width="2.42578125" style="57" customWidth="1"/>
    <col min="9221" max="9221" width="10.140625" style="57" bestFit="1" customWidth="1"/>
    <col min="9222" max="9222" width="16" style="57" customWidth="1"/>
    <col min="9223" max="9467" width="9.140625" style="57"/>
    <col min="9468" max="9468" width="2" style="57" customWidth="1"/>
    <col min="9469" max="9469" width="18.42578125" style="57" customWidth="1"/>
    <col min="9470" max="9470" width="10.7109375" style="57" customWidth="1"/>
    <col min="9471" max="9471" width="16.85546875" style="57" bestFit="1" customWidth="1"/>
    <col min="9472" max="9472" width="13.5703125" style="57" customWidth="1"/>
    <col min="9473" max="9473" width="18.28515625" style="57" customWidth="1"/>
    <col min="9474" max="9474" width="17" style="57" bestFit="1" customWidth="1"/>
    <col min="9475" max="9475" width="17.7109375" style="57" bestFit="1" customWidth="1"/>
    <col min="9476" max="9476" width="2.42578125" style="57" customWidth="1"/>
    <col min="9477" max="9477" width="10.140625" style="57" bestFit="1" customWidth="1"/>
    <col min="9478" max="9478" width="16" style="57" customWidth="1"/>
    <col min="9479" max="9723" width="9.140625" style="57"/>
    <col min="9724" max="9724" width="2" style="57" customWidth="1"/>
    <col min="9725" max="9725" width="18.42578125" style="57" customWidth="1"/>
    <col min="9726" max="9726" width="10.7109375" style="57" customWidth="1"/>
    <col min="9727" max="9727" width="16.85546875" style="57" bestFit="1" customWidth="1"/>
    <col min="9728" max="9728" width="13.5703125" style="57" customWidth="1"/>
    <col min="9729" max="9729" width="18.28515625" style="57" customWidth="1"/>
    <col min="9730" max="9730" width="17" style="57" bestFit="1" customWidth="1"/>
    <col min="9731" max="9731" width="17.7109375" style="57" bestFit="1" customWidth="1"/>
    <col min="9732" max="9732" width="2.42578125" style="57" customWidth="1"/>
    <col min="9733" max="9733" width="10.140625" style="57" bestFit="1" customWidth="1"/>
    <col min="9734" max="9734" width="16" style="57" customWidth="1"/>
    <col min="9735" max="9979" width="9.140625" style="57"/>
    <col min="9980" max="9980" width="2" style="57" customWidth="1"/>
    <col min="9981" max="9981" width="18.42578125" style="57" customWidth="1"/>
    <col min="9982" max="9982" width="10.7109375" style="57" customWidth="1"/>
    <col min="9983" max="9983" width="16.85546875" style="57" bestFit="1" customWidth="1"/>
    <col min="9984" max="9984" width="13.5703125" style="57" customWidth="1"/>
    <col min="9985" max="9985" width="18.28515625" style="57" customWidth="1"/>
    <col min="9986" max="9986" width="17" style="57" bestFit="1" customWidth="1"/>
    <col min="9987" max="9987" width="17.7109375" style="57" bestFit="1" customWidth="1"/>
    <col min="9988" max="9988" width="2.42578125" style="57" customWidth="1"/>
    <col min="9989" max="9989" width="10.140625" style="57" bestFit="1" customWidth="1"/>
    <col min="9990" max="9990" width="16" style="57" customWidth="1"/>
    <col min="9991" max="10235" width="9.140625" style="57"/>
    <col min="10236" max="10236" width="2" style="57" customWidth="1"/>
    <col min="10237" max="10237" width="18.42578125" style="57" customWidth="1"/>
    <col min="10238" max="10238" width="10.7109375" style="57" customWidth="1"/>
    <col min="10239" max="10239" width="16.85546875" style="57" bestFit="1" customWidth="1"/>
    <col min="10240" max="10240" width="13.5703125" style="57" customWidth="1"/>
    <col min="10241" max="10241" width="18.28515625" style="57" customWidth="1"/>
    <col min="10242" max="10242" width="17" style="57" bestFit="1" customWidth="1"/>
    <col min="10243" max="10243" width="17.7109375" style="57" bestFit="1" customWidth="1"/>
    <col min="10244" max="10244" width="2.42578125" style="57" customWidth="1"/>
    <col min="10245" max="10245" width="10.140625" style="57" bestFit="1" customWidth="1"/>
    <col min="10246" max="10246" width="16" style="57" customWidth="1"/>
    <col min="10247" max="10491" width="9.140625" style="57"/>
    <col min="10492" max="10492" width="2" style="57" customWidth="1"/>
    <col min="10493" max="10493" width="18.42578125" style="57" customWidth="1"/>
    <col min="10494" max="10494" width="10.7109375" style="57" customWidth="1"/>
    <col min="10495" max="10495" width="16.85546875" style="57" bestFit="1" customWidth="1"/>
    <col min="10496" max="10496" width="13.5703125" style="57" customWidth="1"/>
    <col min="10497" max="10497" width="18.28515625" style="57" customWidth="1"/>
    <col min="10498" max="10498" width="17" style="57" bestFit="1" customWidth="1"/>
    <col min="10499" max="10499" width="17.7109375" style="57" bestFit="1" customWidth="1"/>
    <col min="10500" max="10500" width="2.42578125" style="57" customWidth="1"/>
    <col min="10501" max="10501" width="10.140625" style="57" bestFit="1" customWidth="1"/>
    <col min="10502" max="10502" width="16" style="57" customWidth="1"/>
    <col min="10503" max="10747" width="9.140625" style="57"/>
    <col min="10748" max="10748" width="2" style="57" customWidth="1"/>
    <col min="10749" max="10749" width="18.42578125" style="57" customWidth="1"/>
    <col min="10750" max="10750" width="10.7109375" style="57" customWidth="1"/>
    <col min="10751" max="10751" width="16.85546875" style="57" bestFit="1" customWidth="1"/>
    <col min="10752" max="10752" width="13.5703125" style="57" customWidth="1"/>
    <col min="10753" max="10753" width="18.28515625" style="57" customWidth="1"/>
    <col min="10754" max="10754" width="17" style="57" bestFit="1" customWidth="1"/>
    <col min="10755" max="10755" width="17.7109375" style="57" bestFit="1" customWidth="1"/>
    <col min="10756" max="10756" width="2.42578125" style="57" customWidth="1"/>
    <col min="10757" max="10757" width="10.140625" style="57" bestFit="1" customWidth="1"/>
    <col min="10758" max="10758" width="16" style="57" customWidth="1"/>
    <col min="10759" max="11003" width="9.140625" style="57"/>
    <col min="11004" max="11004" width="2" style="57" customWidth="1"/>
    <col min="11005" max="11005" width="18.42578125" style="57" customWidth="1"/>
    <col min="11006" max="11006" width="10.7109375" style="57" customWidth="1"/>
    <col min="11007" max="11007" width="16.85546875" style="57" bestFit="1" customWidth="1"/>
    <col min="11008" max="11008" width="13.5703125" style="57" customWidth="1"/>
    <col min="11009" max="11009" width="18.28515625" style="57" customWidth="1"/>
    <col min="11010" max="11010" width="17" style="57" bestFit="1" customWidth="1"/>
    <col min="11011" max="11011" width="17.7109375" style="57" bestFit="1" customWidth="1"/>
    <col min="11012" max="11012" width="2.42578125" style="57" customWidth="1"/>
    <col min="11013" max="11013" width="10.140625" style="57" bestFit="1" customWidth="1"/>
    <col min="11014" max="11014" width="16" style="57" customWidth="1"/>
    <col min="11015" max="11259" width="9.140625" style="57"/>
    <col min="11260" max="11260" width="2" style="57" customWidth="1"/>
    <col min="11261" max="11261" width="18.42578125" style="57" customWidth="1"/>
    <col min="11262" max="11262" width="10.7109375" style="57" customWidth="1"/>
    <col min="11263" max="11263" width="16.85546875" style="57" bestFit="1" customWidth="1"/>
    <col min="11264" max="11264" width="13.5703125" style="57" customWidth="1"/>
    <col min="11265" max="11265" width="18.28515625" style="57" customWidth="1"/>
    <col min="11266" max="11266" width="17" style="57" bestFit="1" customWidth="1"/>
    <col min="11267" max="11267" width="17.7109375" style="57" bestFit="1" customWidth="1"/>
    <col min="11268" max="11268" width="2.42578125" style="57" customWidth="1"/>
    <col min="11269" max="11269" width="10.140625" style="57" bestFit="1" customWidth="1"/>
    <col min="11270" max="11270" width="16" style="57" customWidth="1"/>
    <col min="11271" max="11515" width="9.140625" style="57"/>
    <col min="11516" max="11516" width="2" style="57" customWidth="1"/>
    <col min="11517" max="11517" width="18.42578125" style="57" customWidth="1"/>
    <col min="11518" max="11518" width="10.7109375" style="57" customWidth="1"/>
    <col min="11519" max="11519" width="16.85546875" style="57" bestFit="1" customWidth="1"/>
    <col min="11520" max="11520" width="13.5703125" style="57" customWidth="1"/>
    <col min="11521" max="11521" width="18.28515625" style="57" customWidth="1"/>
    <col min="11522" max="11522" width="17" style="57" bestFit="1" customWidth="1"/>
    <col min="11523" max="11523" width="17.7109375" style="57" bestFit="1" customWidth="1"/>
    <col min="11524" max="11524" width="2.42578125" style="57" customWidth="1"/>
    <col min="11525" max="11525" width="10.140625" style="57" bestFit="1" customWidth="1"/>
    <col min="11526" max="11526" width="16" style="57" customWidth="1"/>
    <col min="11527" max="11771" width="9.140625" style="57"/>
    <col min="11772" max="11772" width="2" style="57" customWidth="1"/>
    <col min="11773" max="11773" width="18.42578125" style="57" customWidth="1"/>
    <col min="11774" max="11774" width="10.7109375" style="57" customWidth="1"/>
    <col min="11775" max="11775" width="16.85546875" style="57" bestFit="1" customWidth="1"/>
    <col min="11776" max="11776" width="13.5703125" style="57" customWidth="1"/>
    <col min="11777" max="11777" width="18.28515625" style="57" customWidth="1"/>
    <col min="11778" max="11778" width="17" style="57" bestFit="1" customWidth="1"/>
    <col min="11779" max="11779" width="17.7109375" style="57" bestFit="1" customWidth="1"/>
    <col min="11780" max="11780" width="2.42578125" style="57" customWidth="1"/>
    <col min="11781" max="11781" width="10.140625" style="57" bestFit="1" customWidth="1"/>
    <col min="11782" max="11782" width="16" style="57" customWidth="1"/>
    <col min="11783" max="12027" width="9.140625" style="57"/>
    <col min="12028" max="12028" width="2" style="57" customWidth="1"/>
    <col min="12029" max="12029" width="18.42578125" style="57" customWidth="1"/>
    <col min="12030" max="12030" width="10.7109375" style="57" customWidth="1"/>
    <col min="12031" max="12031" width="16.85546875" style="57" bestFit="1" customWidth="1"/>
    <col min="12032" max="12032" width="13.5703125" style="57" customWidth="1"/>
    <col min="12033" max="12033" width="18.28515625" style="57" customWidth="1"/>
    <col min="12034" max="12034" width="17" style="57" bestFit="1" customWidth="1"/>
    <col min="12035" max="12035" width="17.7109375" style="57" bestFit="1" customWidth="1"/>
    <col min="12036" max="12036" width="2.42578125" style="57" customWidth="1"/>
    <col min="12037" max="12037" width="10.140625" style="57" bestFit="1" customWidth="1"/>
    <col min="12038" max="12038" width="16" style="57" customWidth="1"/>
    <col min="12039" max="12283" width="9.140625" style="57"/>
    <col min="12284" max="12284" width="2" style="57" customWidth="1"/>
    <col min="12285" max="12285" width="18.42578125" style="57" customWidth="1"/>
    <col min="12286" max="12286" width="10.7109375" style="57" customWidth="1"/>
    <col min="12287" max="12287" width="16.85546875" style="57" bestFit="1" customWidth="1"/>
    <col min="12288" max="12288" width="13.5703125" style="57" customWidth="1"/>
    <col min="12289" max="12289" width="18.28515625" style="57" customWidth="1"/>
    <col min="12290" max="12290" width="17" style="57" bestFit="1" customWidth="1"/>
    <col min="12291" max="12291" width="17.7109375" style="57" bestFit="1" customWidth="1"/>
    <col min="12292" max="12292" width="2.42578125" style="57" customWidth="1"/>
    <col min="12293" max="12293" width="10.140625" style="57" bestFit="1" customWidth="1"/>
    <col min="12294" max="12294" width="16" style="57" customWidth="1"/>
    <col min="12295" max="12539" width="9.140625" style="57"/>
    <col min="12540" max="12540" width="2" style="57" customWidth="1"/>
    <col min="12541" max="12541" width="18.42578125" style="57" customWidth="1"/>
    <col min="12542" max="12542" width="10.7109375" style="57" customWidth="1"/>
    <col min="12543" max="12543" width="16.85546875" style="57" bestFit="1" customWidth="1"/>
    <col min="12544" max="12544" width="13.5703125" style="57" customWidth="1"/>
    <col min="12545" max="12545" width="18.28515625" style="57" customWidth="1"/>
    <col min="12546" max="12546" width="17" style="57" bestFit="1" customWidth="1"/>
    <col min="12547" max="12547" width="17.7109375" style="57" bestFit="1" customWidth="1"/>
    <col min="12548" max="12548" width="2.42578125" style="57" customWidth="1"/>
    <col min="12549" max="12549" width="10.140625" style="57" bestFit="1" customWidth="1"/>
    <col min="12550" max="12550" width="16" style="57" customWidth="1"/>
    <col min="12551" max="12795" width="9.140625" style="57"/>
    <col min="12796" max="12796" width="2" style="57" customWidth="1"/>
    <col min="12797" max="12797" width="18.42578125" style="57" customWidth="1"/>
    <col min="12798" max="12798" width="10.7109375" style="57" customWidth="1"/>
    <col min="12799" max="12799" width="16.85546875" style="57" bestFit="1" customWidth="1"/>
    <col min="12800" max="12800" width="13.5703125" style="57" customWidth="1"/>
    <col min="12801" max="12801" width="18.28515625" style="57" customWidth="1"/>
    <col min="12802" max="12802" width="17" style="57" bestFit="1" customWidth="1"/>
    <col min="12803" max="12803" width="17.7109375" style="57" bestFit="1" customWidth="1"/>
    <col min="12804" max="12804" width="2.42578125" style="57" customWidth="1"/>
    <col min="12805" max="12805" width="10.140625" style="57" bestFit="1" customWidth="1"/>
    <col min="12806" max="12806" width="16" style="57" customWidth="1"/>
    <col min="12807" max="13051" width="9.140625" style="57"/>
    <col min="13052" max="13052" width="2" style="57" customWidth="1"/>
    <col min="13053" max="13053" width="18.42578125" style="57" customWidth="1"/>
    <col min="13054" max="13054" width="10.7109375" style="57" customWidth="1"/>
    <col min="13055" max="13055" width="16.85546875" style="57" bestFit="1" customWidth="1"/>
    <col min="13056" max="13056" width="13.5703125" style="57" customWidth="1"/>
    <col min="13057" max="13057" width="18.28515625" style="57" customWidth="1"/>
    <col min="13058" max="13058" width="17" style="57" bestFit="1" customWidth="1"/>
    <col min="13059" max="13059" width="17.7109375" style="57" bestFit="1" customWidth="1"/>
    <col min="13060" max="13060" width="2.42578125" style="57" customWidth="1"/>
    <col min="13061" max="13061" width="10.140625" style="57" bestFit="1" customWidth="1"/>
    <col min="13062" max="13062" width="16" style="57" customWidth="1"/>
    <col min="13063" max="13307" width="9.140625" style="57"/>
    <col min="13308" max="13308" width="2" style="57" customWidth="1"/>
    <col min="13309" max="13309" width="18.42578125" style="57" customWidth="1"/>
    <col min="13310" max="13310" width="10.7109375" style="57" customWidth="1"/>
    <col min="13311" max="13311" width="16.85546875" style="57" bestFit="1" customWidth="1"/>
    <col min="13312" max="13312" width="13.5703125" style="57" customWidth="1"/>
    <col min="13313" max="13313" width="18.28515625" style="57" customWidth="1"/>
    <col min="13314" max="13314" width="17" style="57" bestFit="1" customWidth="1"/>
    <col min="13315" max="13315" width="17.7109375" style="57" bestFit="1" customWidth="1"/>
    <col min="13316" max="13316" width="2.42578125" style="57" customWidth="1"/>
    <col min="13317" max="13317" width="10.140625" style="57" bestFit="1" customWidth="1"/>
    <col min="13318" max="13318" width="16" style="57" customWidth="1"/>
    <col min="13319" max="13563" width="9.140625" style="57"/>
    <col min="13564" max="13564" width="2" style="57" customWidth="1"/>
    <col min="13565" max="13565" width="18.42578125" style="57" customWidth="1"/>
    <col min="13566" max="13566" width="10.7109375" style="57" customWidth="1"/>
    <col min="13567" max="13567" width="16.85546875" style="57" bestFit="1" customWidth="1"/>
    <col min="13568" max="13568" width="13.5703125" style="57" customWidth="1"/>
    <col min="13569" max="13569" width="18.28515625" style="57" customWidth="1"/>
    <col min="13570" max="13570" width="17" style="57" bestFit="1" customWidth="1"/>
    <col min="13571" max="13571" width="17.7109375" style="57" bestFit="1" customWidth="1"/>
    <col min="13572" max="13572" width="2.42578125" style="57" customWidth="1"/>
    <col min="13573" max="13573" width="10.140625" style="57" bestFit="1" customWidth="1"/>
    <col min="13574" max="13574" width="16" style="57" customWidth="1"/>
    <col min="13575" max="13819" width="9.140625" style="57"/>
    <col min="13820" max="13820" width="2" style="57" customWidth="1"/>
    <col min="13821" max="13821" width="18.42578125" style="57" customWidth="1"/>
    <col min="13822" max="13822" width="10.7109375" style="57" customWidth="1"/>
    <col min="13823" max="13823" width="16.85546875" style="57" bestFit="1" customWidth="1"/>
    <col min="13824" max="13824" width="13.5703125" style="57" customWidth="1"/>
    <col min="13825" max="13825" width="18.28515625" style="57" customWidth="1"/>
    <col min="13826" max="13826" width="17" style="57" bestFit="1" customWidth="1"/>
    <col min="13827" max="13827" width="17.7109375" style="57" bestFit="1" customWidth="1"/>
    <col min="13828" max="13828" width="2.42578125" style="57" customWidth="1"/>
    <col min="13829" max="13829" width="10.140625" style="57" bestFit="1" customWidth="1"/>
    <col min="13830" max="13830" width="16" style="57" customWidth="1"/>
    <col min="13831" max="14075" width="9.140625" style="57"/>
    <col min="14076" max="14076" width="2" style="57" customWidth="1"/>
    <col min="14077" max="14077" width="18.42578125" style="57" customWidth="1"/>
    <col min="14078" max="14078" width="10.7109375" style="57" customWidth="1"/>
    <col min="14079" max="14079" width="16.85546875" style="57" bestFit="1" customWidth="1"/>
    <col min="14080" max="14080" width="13.5703125" style="57" customWidth="1"/>
    <col min="14081" max="14081" width="18.28515625" style="57" customWidth="1"/>
    <col min="14082" max="14082" width="17" style="57" bestFit="1" customWidth="1"/>
    <col min="14083" max="14083" width="17.7109375" style="57" bestFit="1" customWidth="1"/>
    <col min="14084" max="14084" width="2.42578125" style="57" customWidth="1"/>
    <col min="14085" max="14085" width="10.140625" style="57" bestFit="1" customWidth="1"/>
    <col min="14086" max="14086" width="16" style="57" customWidth="1"/>
    <col min="14087" max="14331" width="9.140625" style="57"/>
    <col min="14332" max="14332" width="2" style="57" customWidth="1"/>
    <col min="14333" max="14333" width="18.42578125" style="57" customWidth="1"/>
    <col min="14334" max="14334" width="10.7109375" style="57" customWidth="1"/>
    <col min="14335" max="14335" width="16.85546875" style="57" bestFit="1" customWidth="1"/>
    <col min="14336" max="14336" width="13.5703125" style="57" customWidth="1"/>
    <col min="14337" max="14337" width="18.28515625" style="57" customWidth="1"/>
    <col min="14338" max="14338" width="17" style="57" bestFit="1" customWidth="1"/>
    <col min="14339" max="14339" width="17.7109375" style="57" bestFit="1" customWidth="1"/>
    <col min="14340" max="14340" width="2.42578125" style="57" customWidth="1"/>
    <col min="14341" max="14341" width="10.140625" style="57" bestFit="1" customWidth="1"/>
    <col min="14342" max="14342" width="16" style="57" customWidth="1"/>
    <col min="14343" max="14587" width="9.140625" style="57"/>
    <col min="14588" max="14588" width="2" style="57" customWidth="1"/>
    <col min="14589" max="14589" width="18.42578125" style="57" customWidth="1"/>
    <col min="14590" max="14590" width="10.7109375" style="57" customWidth="1"/>
    <col min="14591" max="14591" width="16.85546875" style="57" bestFit="1" customWidth="1"/>
    <col min="14592" max="14592" width="13.5703125" style="57" customWidth="1"/>
    <col min="14593" max="14593" width="18.28515625" style="57" customWidth="1"/>
    <col min="14594" max="14594" width="17" style="57" bestFit="1" customWidth="1"/>
    <col min="14595" max="14595" width="17.7109375" style="57" bestFit="1" customWidth="1"/>
    <col min="14596" max="14596" width="2.42578125" style="57" customWidth="1"/>
    <col min="14597" max="14597" width="10.140625" style="57" bestFit="1" customWidth="1"/>
    <col min="14598" max="14598" width="16" style="57" customWidth="1"/>
    <col min="14599" max="14843" width="9.140625" style="57"/>
    <col min="14844" max="14844" width="2" style="57" customWidth="1"/>
    <col min="14845" max="14845" width="18.42578125" style="57" customWidth="1"/>
    <col min="14846" max="14846" width="10.7109375" style="57" customWidth="1"/>
    <col min="14847" max="14847" width="16.85546875" style="57" bestFit="1" customWidth="1"/>
    <col min="14848" max="14848" width="13.5703125" style="57" customWidth="1"/>
    <col min="14849" max="14849" width="18.28515625" style="57" customWidth="1"/>
    <col min="14850" max="14850" width="17" style="57" bestFit="1" customWidth="1"/>
    <col min="14851" max="14851" width="17.7109375" style="57" bestFit="1" customWidth="1"/>
    <col min="14852" max="14852" width="2.42578125" style="57" customWidth="1"/>
    <col min="14853" max="14853" width="10.140625" style="57" bestFit="1" customWidth="1"/>
    <col min="14854" max="14854" width="16" style="57" customWidth="1"/>
    <col min="14855" max="15099" width="9.140625" style="57"/>
    <col min="15100" max="15100" width="2" style="57" customWidth="1"/>
    <col min="15101" max="15101" width="18.42578125" style="57" customWidth="1"/>
    <col min="15102" max="15102" width="10.7109375" style="57" customWidth="1"/>
    <col min="15103" max="15103" width="16.85546875" style="57" bestFit="1" customWidth="1"/>
    <col min="15104" max="15104" width="13.5703125" style="57" customWidth="1"/>
    <col min="15105" max="15105" width="18.28515625" style="57" customWidth="1"/>
    <col min="15106" max="15106" width="17" style="57" bestFit="1" customWidth="1"/>
    <col min="15107" max="15107" width="17.7109375" style="57" bestFit="1" customWidth="1"/>
    <col min="15108" max="15108" width="2.42578125" style="57" customWidth="1"/>
    <col min="15109" max="15109" width="10.140625" style="57" bestFit="1" customWidth="1"/>
    <col min="15110" max="15110" width="16" style="57" customWidth="1"/>
    <col min="15111" max="15355" width="9.140625" style="57"/>
    <col min="15356" max="15356" width="2" style="57" customWidth="1"/>
    <col min="15357" max="15357" width="18.42578125" style="57" customWidth="1"/>
    <col min="15358" max="15358" width="10.7109375" style="57" customWidth="1"/>
    <col min="15359" max="15359" width="16.85546875" style="57" bestFit="1" customWidth="1"/>
    <col min="15360" max="15360" width="13.5703125" style="57" customWidth="1"/>
    <col min="15361" max="15361" width="18.28515625" style="57" customWidth="1"/>
    <col min="15362" max="15362" width="17" style="57" bestFit="1" customWidth="1"/>
    <col min="15363" max="15363" width="17.7109375" style="57" bestFit="1" customWidth="1"/>
    <col min="15364" max="15364" width="2.42578125" style="57" customWidth="1"/>
    <col min="15365" max="15365" width="10.140625" style="57" bestFit="1" customWidth="1"/>
    <col min="15366" max="15366" width="16" style="57" customWidth="1"/>
    <col min="15367" max="15611" width="9.140625" style="57"/>
    <col min="15612" max="15612" width="2" style="57" customWidth="1"/>
    <col min="15613" max="15613" width="18.42578125" style="57" customWidth="1"/>
    <col min="15614" max="15614" width="10.7109375" style="57" customWidth="1"/>
    <col min="15615" max="15615" width="16.85546875" style="57" bestFit="1" customWidth="1"/>
    <col min="15616" max="15616" width="13.5703125" style="57" customWidth="1"/>
    <col min="15617" max="15617" width="18.28515625" style="57" customWidth="1"/>
    <col min="15618" max="15618" width="17" style="57" bestFit="1" customWidth="1"/>
    <col min="15619" max="15619" width="17.7109375" style="57" bestFit="1" customWidth="1"/>
    <col min="15620" max="15620" width="2.42578125" style="57" customWidth="1"/>
    <col min="15621" max="15621" width="10.140625" style="57" bestFit="1" customWidth="1"/>
    <col min="15622" max="15622" width="16" style="57" customWidth="1"/>
    <col min="15623" max="15867" width="9.140625" style="57"/>
    <col min="15868" max="15868" width="2" style="57" customWidth="1"/>
    <col min="15869" max="15869" width="18.42578125" style="57" customWidth="1"/>
    <col min="15870" max="15870" width="10.7109375" style="57" customWidth="1"/>
    <col min="15871" max="15871" width="16.85546875" style="57" bestFit="1" customWidth="1"/>
    <col min="15872" max="15872" width="13.5703125" style="57" customWidth="1"/>
    <col min="15873" max="15873" width="18.28515625" style="57" customWidth="1"/>
    <col min="15874" max="15874" width="17" style="57" bestFit="1" customWidth="1"/>
    <col min="15875" max="15875" width="17.7109375" style="57" bestFit="1" customWidth="1"/>
    <col min="15876" max="15876" width="2.42578125" style="57" customWidth="1"/>
    <col min="15877" max="15877" width="10.140625" style="57" bestFit="1" customWidth="1"/>
    <col min="15878" max="15878" width="16" style="57" customWidth="1"/>
    <col min="15879" max="16123" width="9.140625" style="57"/>
    <col min="16124" max="16124" width="2" style="57" customWidth="1"/>
    <col min="16125" max="16125" width="18.42578125" style="57" customWidth="1"/>
    <col min="16126" max="16126" width="10.7109375" style="57" customWidth="1"/>
    <col min="16127" max="16127" width="16.85546875" style="57" bestFit="1" customWidth="1"/>
    <col min="16128" max="16128" width="13.5703125" style="57" customWidth="1"/>
    <col min="16129" max="16129" width="18.28515625" style="57" customWidth="1"/>
    <col min="16130" max="16130" width="17" style="57" bestFit="1" customWidth="1"/>
    <col min="16131" max="16131" width="17.7109375" style="57" bestFit="1" customWidth="1"/>
    <col min="16132" max="16132" width="2.42578125" style="57" customWidth="1"/>
    <col min="16133" max="16133" width="10.140625" style="57" bestFit="1" customWidth="1"/>
    <col min="16134" max="16134" width="16" style="57" customWidth="1"/>
    <col min="16135" max="16384" width="9.140625" style="57"/>
  </cols>
  <sheetData>
    <row r="1" spans="1:14" x14ac:dyDescent="0.15">
      <c r="A1" s="61" t="str">
        <f>Deferred!A1</f>
        <v>ABCL</v>
      </c>
    </row>
    <row r="2" spans="1:14" ht="11.25" thickBot="1" x14ac:dyDescent="0.2">
      <c r="A2" s="58" t="s">
        <v>125</v>
      </c>
    </row>
    <row r="3" spans="1:14" x14ac:dyDescent="0.15">
      <c r="A3" s="53"/>
      <c r="B3" s="56"/>
      <c r="C3" s="54"/>
      <c r="D3" s="55"/>
      <c r="E3" s="170"/>
      <c r="F3" s="152"/>
      <c r="G3" s="54"/>
      <c r="H3" s="55"/>
      <c r="I3" s="170"/>
      <c r="J3" s="152"/>
      <c r="K3" s="54"/>
      <c r="L3" s="152"/>
      <c r="M3" s="54"/>
      <c r="N3" s="152"/>
    </row>
    <row r="4" spans="1:14" x14ac:dyDescent="0.15">
      <c r="A4" s="181"/>
      <c r="B4" s="182"/>
      <c r="C4" s="282" t="s">
        <v>124</v>
      </c>
      <c r="D4" s="282"/>
      <c r="E4" s="280" t="s">
        <v>146</v>
      </c>
      <c r="F4" s="281"/>
      <c r="G4" s="282" t="s">
        <v>147</v>
      </c>
      <c r="H4" s="282"/>
      <c r="I4" s="280" t="s">
        <v>148</v>
      </c>
      <c r="J4" s="281"/>
      <c r="K4" s="282" t="s">
        <v>149</v>
      </c>
      <c r="L4" s="283"/>
      <c r="M4" s="284" t="s">
        <v>150</v>
      </c>
      <c r="N4" s="281"/>
    </row>
    <row r="5" spans="1:14" ht="11.25" thickBot="1" x14ac:dyDescent="0.2">
      <c r="A5" s="69"/>
      <c r="B5" s="70"/>
      <c r="C5" s="179"/>
      <c r="D5" s="66"/>
      <c r="E5" s="180"/>
      <c r="F5" s="156"/>
      <c r="G5" s="179"/>
      <c r="H5" s="66"/>
      <c r="I5" s="180"/>
      <c r="J5" s="156"/>
      <c r="K5" s="179"/>
      <c r="L5" s="156"/>
      <c r="M5" s="179"/>
      <c r="N5" s="156"/>
    </row>
    <row r="6" spans="1:14" x14ac:dyDescent="0.15">
      <c r="A6" s="139" t="s">
        <v>44</v>
      </c>
      <c r="B6" s="163"/>
      <c r="D6" s="62">
        <v>100000</v>
      </c>
      <c r="E6" s="171"/>
      <c r="F6" s="154">
        <f>D6*200%</f>
        <v>200000</v>
      </c>
      <c r="G6" s="59"/>
      <c r="H6" s="154">
        <f>F6*200%</f>
        <v>400000</v>
      </c>
      <c r="I6" s="171"/>
      <c r="J6" s="154">
        <f>H6*105%</f>
        <v>420000</v>
      </c>
      <c r="K6" s="59"/>
      <c r="L6" s="154">
        <f>J6*110%</f>
        <v>462000.00000000006</v>
      </c>
      <c r="M6" s="59"/>
      <c r="N6" s="154">
        <f>L6*150%</f>
        <v>693000.00000000012</v>
      </c>
    </row>
    <row r="7" spans="1:14" x14ac:dyDescent="0.15">
      <c r="A7" s="138"/>
      <c r="B7" s="164"/>
      <c r="E7" s="171"/>
      <c r="F7" s="153"/>
      <c r="G7" s="59"/>
      <c r="H7" s="60"/>
      <c r="I7" s="171"/>
      <c r="J7" s="153"/>
      <c r="K7" s="59"/>
      <c r="L7" s="153"/>
      <c r="M7" s="59"/>
      <c r="N7" s="153"/>
    </row>
    <row r="8" spans="1:14" ht="21" x14ac:dyDescent="0.15">
      <c r="A8" s="139" t="s">
        <v>45</v>
      </c>
      <c r="B8" s="165" t="s">
        <v>46</v>
      </c>
      <c r="E8" s="171"/>
      <c r="F8" s="153"/>
      <c r="G8" s="59"/>
      <c r="H8" s="60"/>
      <c r="I8" s="171"/>
      <c r="J8" s="153"/>
      <c r="K8" s="59"/>
      <c r="L8" s="153"/>
      <c r="M8" s="59"/>
      <c r="N8" s="153"/>
    </row>
    <row r="9" spans="1:14" x14ac:dyDescent="0.15">
      <c r="A9" s="155"/>
      <c r="B9" s="166" t="s">
        <v>47</v>
      </c>
      <c r="C9" s="60">
        <f>FAS!I13</f>
        <v>2622538.8520410163</v>
      </c>
      <c r="E9" s="172">
        <f>FAS!I25</f>
        <v>4160359.7052241312</v>
      </c>
      <c r="F9" s="153"/>
      <c r="G9" s="60">
        <f>FAS!I37</f>
        <v>8553615.7382972017</v>
      </c>
      <c r="H9" s="60"/>
      <c r="I9" s="172">
        <f>FAS!I49</f>
        <v>5947782.523356962</v>
      </c>
      <c r="J9" s="153"/>
      <c r="K9" s="60">
        <f>FAS!I61</f>
        <v>4520403.9212779524</v>
      </c>
      <c r="L9" s="153"/>
      <c r="M9" s="60">
        <f>FAS!I73</f>
        <v>3525381.2544050422</v>
      </c>
      <c r="N9" s="153"/>
    </row>
    <row r="10" spans="1:14" x14ac:dyDescent="0.15">
      <c r="A10" s="155"/>
      <c r="B10" s="166" t="s">
        <v>48</v>
      </c>
      <c r="C10" s="60">
        <v>0</v>
      </c>
      <c r="E10" s="172">
        <v>0</v>
      </c>
      <c r="F10" s="153"/>
      <c r="G10" s="60">
        <v>0</v>
      </c>
      <c r="H10" s="60"/>
      <c r="I10" s="172">
        <v>0</v>
      </c>
      <c r="J10" s="153"/>
      <c r="K10" s="60">
        <v>0</v>
      </c>
      <c r="L10" s="153"/>
      <c r="M10" s="60">
        <v>0</v>
      </c>
      <c r="N10" s="153"/>
    </row>
    <row r="11" spans="1:14" x14ac:dyDescent="0.15">
      <c r="A11" s="155"/>
      <c r="B11" s="166" t="s">
        <v>49</v>
      </c>
      <c r="C11" s="59">
        <v>0</v>
      </c>
      <c r="E11" s="171">
        <v>0</v>
      </c>
      <c r="F11" s="153"/>
      <c r="G11" s="59">
        <v>0</v>
      </c>
      <c r="H11" s="60"/>
      <c r="I11" s="171">
        <v>0</v>
      </c>
      <c r="J11" s="153"/>
      <c r="K11" s="59">
        <v>0</v>
      </c>
      <c r="L11" s="153"/>
      <c r="M11" s="59">
        <v>0</v>
      </c>
      <c r="N11" s="153"/>
    </row>
    <row r="12" spans="1:14" x14ac:dyDescent="0.15">
      <c r="A12" s="155"/>
      <c r="B12" s="166" t="s">
        <v>50</v>
      </c>
      <c r="C12" s="60">
        <v>0</v>
      </c>
      <c r="E12" s="172">
        <v>0</v>
      </c>
      <c r="F12" s="153"/>
      <c r="G12" s="60">
        <v>0</v>
      </c>
      <c r="H12" s="60"/>
      <c r="I12" s="172">
        <v>0</v>
      </c>
      <c r="J12" s="153"/>
      <c r="K12" s="60">
        <v>0</v>
      </c>
      <c r="L12" s="153"/>
      <c r="M12" s="60">
        <v>0</v>
      </c>
      <c r="N12" s="153"/>
    </row>
    <row r="13" spans="1:14" x14ac:dyDescent="0.15">
      <c r="A13" s="155"/>
      <c r="B13" s="166" t="s">
        <v>85</v>
      </c>
      <c r="C13" s="60">
        <v>0</v>
      </c>
      <c r="E13" s="172">
        <v>0</v>
      </c>
      <c r="F13" s="153"/>
      <c r="G13" s="60">
        <v>0</v>
      </c>
      <c r="H13" s="60"/>
      <c r="I13" s="172">
        <v>0</v>
      </c>
      <c r="J13" s="153"/>
      <c r="K13" s="60">
        <v>0</v>
      </c>
      <c r="L13" s="153"/>
      <c r="M13" s="60">
        <v>0</v>
      </c>
      <c r="N13" s="153"/>
    </row>
    <row r="14" spans="1:14" x14ac:dyDescent="0.15">
      <c r="A14" s="155"/>
      <c r="B14" s="166" t="s">
        <v>51</v>
      </c>
      <c r="C14" s="63">
        <v>500000</v>
      </c>
      <c r="E14" s="173">
        <v>2500</v>
      </c>
      <c r="F14" s="153"/>
      <c r="G14" s="63">
        <v>23455</v>
      </c>
      <c r="H14" s="60"/>
      <c r="I14" s="173">
        <v>673452</v>
      </c>
      <c r="J14" s="153"/>
      <c r="K14" s="63">
        <v>656222</v>
      </c>
      <c r="L14" s="153"/>
      <c r="M14" s="63">
        <v>78687</v>
      </c>
      <c r="N14" s="153"/>
    </row>
    <row r="15" spans="1:14" ht="21" x14ac:dyDescent="0.15">
      <c r="A15" s="155"/>
      <c r="B15" s="166" t="s">
        <v>118</v>
      </c>
      <c r="C15" s="63">
        <f>Deferred!C26</f>
        <v>1675000</v>
      </c>
      <c r="E15" s="173">
        <f>Deferred!I26</f>
        <v>837500</v>
      </c>
      <c r="F15" s="153"/>
      <c r="G15" s="63">
        <f>Deferred!N26</f>
        <v>0</v>
      </c>
      <c r="H15" s="60"/>
      <c r="I15" s="173">
        <f>Deferred!S26</f>
        <v>0</v>
      </c>
      <c r="J15" s="153"/>
      <c r="K15" s="173">
        <f>Deferred!X26</f>
        <v>0</v>
      </c>
      <c r="L15" s="153"/>
      <c r="M15" s="63">
        <f>Deferred!AC26</f>
        <v>0</v>
      </c>
      <c r="N15" s="153"/>
    </row>
    <row r="16" spans="1:14" x14ac:dyDescent="0.15">
      <c r="A16" s="155"/>
      <c r="B16" s="166" t="s">
        <v>119</v>
      </c>
      <c r="C16" s="64">
        <v>0</v>
      </c>
      <c r="D16" s="60">
        <f>SUM(C9:C16)</f>
        <v>4797538.8520410163</v>
      </c>
      <c r="E16" s="174">
        <v>0</v>
      </c>
      <c r="F16" s="153">
        <f>SUM(E9:E16)</f>
        <v>5000359.7052241312</v>
      </c>
      <c r="G16" s="64">
        <v>0</v>
      </c>
      <c r="H16" s="60">
        <f>SUM(G9:G16)</f>
        <v>8577070.7382972017</v>
      </c>
      <c r="I16" s="174">
        <v>0</v>
      </c>
      <c r="J16" s="153">
        <f>SUM(I9:I16)</f>
        <v>6621234.523356962</v>
      </c>
      <c r="K16" s="64">
        <v>0</v>
      </c>
      <c r="L16" s="153">
        <f>SUM(K9:K16)</f>
        <v>5176625.9212779524</v>
      </c>
      <c r="M16" s="64">
        <v>0</v>
      </c>
      <c r="N16" s="153">
        <f>SUM(M9:M16)</f>
        <v>3604068.2544050422</v>
      </c>
    </row>
    <row r="17" spans="1:14" x14ac:dyDescent="0.15">
      <c r="A17" s="138"/>
      <c r="B17" s="166"/>
      <c r="C17" s="60"/>
      <c r="E17" s="172"/>
      <c r="F17" s="153"/>
      <c r="G17" s="60"/>
      <c r="H17" s="60"/>
      <c r="I17" s="172"/>
      <c r="J17" s="153"/>
      <c r="K17" s="60"/>
      <c r="L17" s="153"/>
      <c r="M17" s="60"/>
      <c r="N17" s="153"/>
    </row>
    <row r="18" spans="1:14" ht="21" x14ac:dyDescent="0.15">
      <c r="A18" s="139" t="s">
        <v>52</v>
      </c>
      <c r="B18" s="165" t="s">
        <v>53</v>
      </c>
      <c r="C18" s="60"/>
      <c r="E18" s="172"/>
      <c r="F18" s="153"/>
      <c r="G18" s="60"/>
      <c r="H18" s="60"/>
      <c r="I18" s="172"/>
      <c r="J18" s="153"/>
      <c r="K18" s="60"/>
      <c r="L18" s="153"/>
      <c r="M18" s="60"/>
      <c r="N18" s="153"/>
    </row>
    <row r="19" spans="1:14" x14ac:dyDescent="0.15">
      <c r="A19" s="142"/>
      <c r="B19" s="166" t="s">
        <v>54</v>
      </c>
      <c r="C19" s="60">
        <f>-'FA IT'!I13</f>
        <v>-2649803.8499999996</v>
      </c>
      <c r="E19" s="172">
        <f>-'FA IT'!I26</f>
        <v>-3199237.8425000003</v>
      </c>
      <c r="F19" s="153"/>
      <c r="G19" s="60">
        <f>-'FA IT'!I39</f>
        <v>-4058650.1571249994</v>
      </c>
      <c r="H19" s="60"/>
      <c r="I19" s="172">
        <f>-'FA IT'!I52</f>
        <v>-3595464.2085562497</v>
      </c>
      <c r="J19" s="153"/>
      <c r="K19" s="60">
        <f>-'FA IT'!I65</f>
        <v>-3442162.5045428122</v>
      </c>
      <c r="L19" s="153"/>
      <c r="M19" s="60">
        <f>-'FA IT'!I78</f>
        <v>-3006279.8285158901</v>
      </c>
      <c r="N19" s="153"/>
    </row>
    <row r="20" spans="1:14" x14ac:dyDescent="0.15">
      <c r="A20" s="142"/>
      <c r="B20" s="166" t="s">
        <v>94</v>
      </c>
      <c r="C20" s="60">
        <v>0</v>
      </c>
      <c r="E20" s="172">
        <v>0</v>
      </c>
      <c r="F20" s="153"/>
      <c r="G20" s="60">
        <v>0</v>
      </c>
      <c r="H20" s="60"/>
      <c r="I20" s="172">
        <v>0</v>
      </c>
      <c r="J20" s="153"/>
      <c r="K20" s="60">
        <v>0</v>
      </c>
      <c r="L20" s="153"/>
      <c r="M20" s="60">
        <v>0</v>
      </c>
      <c r="N20" s="153"/>
    </row>
    <row r="21" spans="1:14" x14ac:dyDescent="0.15">
      <c r="A21" s="142"/>
      <c r="B21" s="166" t="s">
        <v>120</v>
      </c>
      <c r="C21" s="60">
        <f>-Deferred!D26</f>
        <v>-837500</v>
      </c>
      <c r="E21" s="172">
        <f>-Deferred!F26</f>
        <v>0</v>
      </c>
      <c r="F21" s="153"/>
      <c r="G21" s="60">
        <f>-Deferred!H26</f>
        <v>0</v>
      </c>
      <c r="H21" s="60"/>
      <c r="I21" s="172">
        <f>-Deferred!J26</f>
        <v>0</v>
      </c>
      <c r="J21" s="153"/>
      <c r="K21" s="60">
        <f>-Deferred!L26</f>
        <v>0</v>
      </c>
      <c r="L21" s="153"/>
      <c r="M21" s="60">
        <f>-Deferred!N26</f>
        <v>0</v>
      </c>
      <c r="N21" s="153"/>
    </row>
    <row r="22" spans="1:14" x14ac:dyDescent="0.15">
      <c r="A22" s="142"/>
      <c r="B22" s="166" t="s">
        <v>156</v>
      </c>
      <c r="C22" s="60">
        <f>-2500</f>
        <v>-2500</v>
      </c>
      <c r="E22" s="172"/>
      <c r="F22" s="153"/>
      <c r="G22" s="60"/>
      <c r="H22" s="60"/>
      <c r="I22" s="172"/>
      <c r="J22" s="153"/>
      <c r="K22" s="60"/>
      <c r="L22" s="153"/>
      <c r="M22" s="60"/>
      <c r="N22" s="153"/>
    </row>
    <row r="23" spans="1:14" ht="11.25" thickBot="1" x14ac:dyDescent="0.2">
      <c r="A23" s="141"/>
      <c r="B23" s="166" t="s">
        <v>95</v>
      </c>
      <c r="C23" s="65"/>
      <c r="D23" s="66">
        <f>SUM(C19:C23)</f>
        <v>-3489803.8499999996</v>
      </c>
      <c r="E23" s="175"/>
      <c r="F23" s="156">
        <f>SUM(E19:E23)</f>
        <v>-3199237.8425000003</v>
      </c>
      <c r="G23" s="65"/>
      <c r="H23" s="66">
        <f>SUM(G19:G23)</f>
        <v>-4058650.1571249994</v>
      </c>
      <c r="I23" s="175"/>
      <c r="J23" s="156">
        <f>SUM(I19:I23)</f>
        <v>-3595464.2085562497</v>
      </c>
      <c r="K23" s="65"/>
      <c r="L23" s="156">
        <f>SUM(K19:K23)</f>
        <v>-3442162.5045428122</v>
      </c>
      <c r="M23" s="65"/>
      <c r="N23" s="156">
        <f>SUM(M19:M23)</f>
        <v>-3006279.8285158901</v>
      </c>
    </row>
    <row r="24" spans="1:14" x14ac:dyDescent="0.15">
      <c r="A24" s="138"/>
      <c r="B24" s="166"/>
      <c r="C24" s="67"/>
      <c r="D24" s="60">
        <f>SUM(D6:D23)</f>
        <v>1407735.0020410167</v>
      </c>
      <c r="E24" s="176"/>
      <c r="F24" s="153">
        <f>SUM(F6:F23)</f>
        <v>2001121.862724131</v>
      </c>
      <c r="G24" s="67"/>
      <c r="H24" s="60">
        <f>SUM(H6:H23)</f>
        <v>4918420.5811722018</v>
      </c>
      <c r="I24" s="176"/>
      <c r="J24" s="153">
        <f>SUM(J6:J23)</f>
        <v>3445770.3148007123</v>
      </c>
      <c r="K24" s="67"/>
      <c r="L24" s="153">
        <f>SUM(L6:L23)</f>
        <v>2196463.4167351401</v>
      </c>
      <c r="M24" s="67"/>
      <c r="N24" s="153">
        <f>SUM(N6:N23)</f>
        <v>1290788.4258891521</v>
      </c>
    </row>
    <row r="25" spans="1:14" ht="21.75" thickBot="1" x14ac:dyDescent="0.2">
      <c r="A25" s="139" t="s">
        <v>55</v>
      </c>
      <c r="B25" s="167" t="s">
        <v>56</v>
      </c>
      <c r="D25" s="66">
        <f>-2000000</f>
        <v>-2000000</v>
      </c>
      <c r="E25" s="171"/>
      <c r="F25" s="156">
        <f>IF(D26&lt;0,D26,0)</f>
        <v>-592264.99795898329</v>
      </c>
      <c r="G25" s="59"/>
      <c r="H25" s="156">
        <f>IF(F26&lt;0,F26,0)</f>
        <v>0</v>
      </c>
      <c r="I25" s="171"/>
      <c r="J25" s="156">
        <f>IF(H26&lt;0,H26,0)</f>
        <v>0</v>
      </c>
      <c r="K25" s="59"/>
      <c r="L25" s="156">
        <f>IF(J26&lt;0,J26,0)</f>
        <v>0</v>
      </c>
      <c r="M25" s="59"/>
      <c r="N25" s="156">
        <f>IF(L26&lt;0,L26,0)</f>
        <v>0</v>
      </c>
    </row>
    <row r="26" spans="1:14" ht="21" x14ac:dyDescent="0.15">
      <c r="A26" s="138"/>
      <c r="B26" s="167" t="s">
        <v>57</v>
      </c>
      <c r="D26" s="60">
        <f>SUM(D24:D25)</f>
        <v>-592264.99795898329</v>
      </c>
      <c r="E26" s="171"/>
      <c r="F26" s="153">
        <f>SUM(F24:F25)</f>
        <v>1408856.8647651477</v>
      </c>
      <c r="G26" s="59"/>
      <c r="H26" s="60">
        <f>SUM(H24:H25)</f>
        <v>4918420.5811722018</v>
      </c>
      <c r="I26" s="171"/>
      <c r="J26" s="153">
        <f>SUM(J24:J25)</f>
        <v>3445770.3148007123</v>
      </c>
      <c r="K26" s="59"/>
      <c r="L26" s="153">
        <f>SUM(L24:L25)</f>
        <v>2196463.4167351401</v>
      </c>
      <c r="M26" s="59"/>
      <c r="N26" s="153">
        <f>SUM(N24:N25)</f>
        <v>1290788.4258891521</v>
      </c>
    </row>
    <row r="27" spans="1:14" x14ac:dyDescent="0.15">
      <c r="A27" s="138"/>
      <c r="B27" s="167"/>
      <c r="D27" s="59"/>
      <c r="E27" s="171"/>
      <c r="F27" s="157"/>
      <c r="G27" s="59"/>
      <c r="H27" s="59"/>
      <c r="I27" s="171"/>
      <c r="J27" s="157"/>
      <c r="K27" s="59"/>
      <c r="L27" s="157"/>
      <c r="M27" s="59"/>
      <c r="N27" s="157"/>
    </row>
    <row r="28" spans="1:14" x14ac:dyDescent="0.15">
      <c r="A28" s="138"/>
      <c r="B28" s="167" t="s">
        <v>58</v>
      </c>
      <c r="D28" s="59">
        <f>D26</f>
        <v>-592264.99795898329</v>
      </c>
      <c r="E28" s="171"/>
      <c r="F28" s="157">
        <f>F26</f>
        <v>1408856.8647651477</v>
      </c>
      <c r="G28" s="59"/>
      <c r="H28" s="59">
        <f>H26</f>
        <v>4918420.5811722018</v>
      </c>
      <c r="I28" s="171"/>
      <c r="J28" s="157">
        <f>J26</f>
        <v>3445770.3148007123</v>
      </c>
      <c r="K28" s="59"/>
      <c r="L28" s="157">
        <f>L26</f>
        <v>2196463.4167351401</v>
      </c>
      <c r="M28" s="59"/>
      <c r="N28" s="157">
        <f>N26</f>
        <v>1290788.4258891521</v>
      </c>
    </row>
    <row r="29" spans="1:14" x14ac:dyDescent="0.15">
      <c r="A29" s="138"/>
      <c r="B29" s="167"/>
      <c r="E29" s="171"/>
      <c r="F29" s="153"/>
      <c r="G29" s="59"/>
      <c r="H29" s="60"/>
      <c r="I29" s="171"/>
      <c r="J29" s="153"/>
      <c r="K29" s="59"/>
      <c r="L29" s="153"/>
      <c r="M29" s="59"/>
      <c r="N29" s="153"/>
    </row>
    <row r="30" spans="1:14" x14ac:dyDescent="0.15">
      <c r="A30" s="139" t="s">
        <v>55</v>
      </c>
      <c r="B30" s="167" t="s">
        <v>59</v>
      </c>
      <c r="E30" s="171"/>
      <c r="F30" s="153"/>
      <c r="G30" s="59"/>
      <c r="H30" s="60"/>
      <c r="I30" s="171"/>
      <c r="J30" s="153"/>
      <c r="K30" s="59"/>
      <c r="L30" s="153"/>
      <c r="M30" s="59"/>
      <c r="N30" s="153"/>
    </row>
    <row r="31" spans="1:14" x14ac:dyDescent="0.15">
      <c r="A31" s="138"/>
      <c r="B31" s="166"/>
      <c r="D31" s="60">
        <v>0</v>
      </c>
      <c r="E31" s="171"/>
      <c r="F31" s="153">
        <v>0</v>
      </c>
      <c r="G31" s="59"/>
      <c r="H31" s="60">
        <v>0</v>
      </c>
      <c r="I31" s="171"/>
      <c r="J31" s="153">
        <v>0</v>
      </c>
      <c r="K31" s="59"/>
      <c r="L31" s="153">
        <v>0</v>
      </c>
      <c r="M31" s="59"/>
      <c r="N31" s="153">
        <v>0</v>
      </c>
    </row>
    <row r="32" spans="1:14" x14ac:dyDescent="0.15">
      <c r="A32" s="138"/>
      <c r="B32" s="167" t="s">
        <v>60</v>
      </c>
      <c r="D32" s="68">
        <f>+D28-D31</f>
        <v>-592264.99795898329</v>
      </c>
      <c r="E32" s="171"/>
      <c r="F32" s="158">
        <f>+F28-F31</f>
        <v>1408856.8647651477</v>
      </c>
      <c r="G32" s="59"/>
      <c r="H32" s="68">
        <f>+H28-H31</f>
        <v>4918420.5811722018</v>
      </c>
      <c r="I32" s="171"/>
      <c r="J32" s="158">
        <f>+J28-J31</f>
        <v>3445770.3148007123</v>
      </c>
      <c r="K32" s="59"/>
      <c r="L32" s="158">
        <f>+L28-L31</f>
        <v>2196463.4167351401</v>
      </c>
      <c r="M32" s="59"/>
      <c r="N32" s="158">
        <f>+N28-N31</f>
        <v>1290788.4258891521</v>
      </c>
    </row>
    <row r="33" spans="1:14" x14ac:dyDescent="0.15">
      <c r="A33" s="138"/>
      <c r="B33" s="167"/>
      <c r="D33" s="68"/>
      <c r="E33" s="171"/>
      <c r="F33" s="158"/>
      <c r="G33" s="59"/>
      <c r="H33" s="68"/>
      <c r="I33" s="171"/>
      <c r="J33" s="158"/>
      <c r="K33" s="59"/>
      <c r="L33" s="158"/>
      <c r="M33" s="59"/>
      <c r="N33" s="158"/>
    </row>
    <row r="34" spans="1:14" x14ac:dyDescent="0.15">
      <c r="A34" s="138"/>
      <c r="B34" s="167" t="s">
        <v>61</v>
      </c>
      <c r="D34" s="60">
        <f>+IF(D32&gt;0,D32*30%,0)</f>
        <v>0</v>
      </c>
      <c r="E34" s="171"/>
      <c r="F34" s="153">
        <f>+IF(F32&gt;0,F32*30%,0)</f>
        <v>422657.05942954432</v>
      </c>
      <c r="G34" s="59"/>
      <c r="H34" s="60">
        <f>+IF(H32&gt;0,H32*30%,0)</f>
        <v>1475526.1743516605</v>
      </c>
      <c r="I34" s="171"/>
      <c r="J34" s="153">
        <f>+IF(J32&gt;0,J32*30%,0)</f>
        <v>1033731.0944402136</v>
      </c>
      <c r="K34" s="59"/>
      <c r="L34" s="153">
        <f>+IF(L32&gt;0,L32*30%,0)</f>
        <v>658939.02502054197</v>
      </c>
      <c r="M34" s="59"/>
      <c r="N34" s="153">
        <f>+IF(N32&gt;0,N32*30%,0)</f>
        <v>387236.5277667456</v>
      </c>
    </row>
    <row r="35" spans="1:14" x14ac:dyDescent="0.15">
      <c r="A35" s="138"/>
      <c r="B35" s="167"/>
      <c r="E35" s="171"/>
      <c r="F35" s="153"/>
      <c r="G35" s="59"/>
      <c r="H35" s="60"/>
      <c r="I35" s="171"/>
      <c r="J35" s="153"/>
      <c r="K35" s="59"/>
      <c r="L35" s="153"/>
      <c r="M35" s="59"/>
      <c r="N35" s="153"/>
    </row>
    <row r="36" spans="1:14" x14ac:dyDescent="0.15">
      <c r="A36" s="139" t="s">
        <v>62</v>
      </c>
      <c r="B36" s="167" t="s">
        <v>126</v>
      </c>
      <c r="D36" s="65">
        <f>(D34)*0%</f>
        <v>0</v>
      </c>
      <c r="E36" s="171"/>
      <c r="F36" s="159">
        <f>(F34)*0%</f>
        <v>0</v>
      </c>
      <c r="G36" s="59"/>
      <c r="H36" s="65">
        <f>(H34)*0%</f>
        <v>0</v>
      </c>
      <c r="I36" s="171"/>
      <c r="J36" s="159">
        <f>(J34)*0%</f>
        <v>0</v>
      </c>
      <c r="K36" s="59"/>
      <c r="L36" s="159">
        <f>(L34)*0%</f>
        <v>0</v>
      </c>
      <c r="M36" s="59"/>
      <c r="N36" s="159">
        <f>(N34)*0%</f>
        <v>0</v>
      </c>
    </row>
    <row r="37" spans="1:14" x14ac:dyDescent="0.15">
      <c r="A37" s="139"/>
      <c r="B37" s="167"/>
      <c r="D37" s="60">
        <f>+D34+D36</f>
        <v>0</v>
      </c>
      <c r="E37" s="171"/>
      <c r="F37" s="153">
        <f>+F34+F36</f>
        <v>422657.05942954432</v>
      </c>
      <c r="G37" s="59"/>
      <c r="H37" s="60">
        <f>+H34+H36</f>
        <v>1475526.1743516605</v>
      </c>
      <c r="I37" s="171"/>
      <c r="J37" s="153">
        <f>+J34+J36</f>
        <v>1033731.0944402136</v>
      </c>
      <c r="K37" s="59"/>
      <c r="L37" s="153">
        <f>+L34+L36</f>
        <v>658939.02502054197</v>
      </c>
      <c r="M37" s="59"/>
      <c r="N37" s="153">
        <f>+N34+N36</f>
        <v>387236.5277667456</v>
      </c>
    </row>
    <row r="38" spans="1:14" ht="21" x14ac:dyDescent="0.15">
      <c r="A38" s="139" t="s">
        <v>62</v>
      </c>
      <c r="B38" s="167" t="s">
        <v>89</v>
      </c>
      <c r="D38" s="60">
        <f>+D37*4%</f>
        <v>0</v>
      </c>
      <c r="E38" s="171"/>
      <c r="F38" s="153">
        <f>+F37*4%</f>
        <v>16906.282377181771</v>
      </c>
      <c r="G38" s="59"/>
      <c r="H38" s="60">
        <f>+H37*4%</f>
        <v>59021.046974066419</v>
      </c>
      <c r="I38" s="171"/>
      <c r="J38" s="153">
        <f>+J37*4%</f>
        <v>41349.24377760855</v>
      </c>
      <c r="K38" s="59"/>
      <c r="L38" s="153">
        <f>+L37*4%</f>
        <v>26357.561000821679</v>
      </c>
      <c r="M38" s="59"/>
      <c r="N38" s="153">
        <f>+N37*4%</f>
        <v>15489.461110669825</v>
      </c>
    </row>
    <row r="39" spans="1:14" ht="11.25" thickBot="1" x14ac:dyDescent="0.2">
      <c r="A39" s="139"/>
      <c r="B39" s="167"/>
      <c r="E39" s="171"/>
      <c r="F39" s="153"/>
      <c r="G39" s="59"/>
      <c r="H39" s="60"/>
      <c r="I39" s="171"/>
      <c r="J39" s="153"/>
      <c r="K39" s="59"/>
      <c r="L39" s="153"/>
      <c r="M39" s="59"/>
      <c r="N39" s="153"/>
    </row>
    <row r="40" spans="1:14" ht="12" customHeight="1" thickBot="1" x14ac:dyDescent="0.2">
      <c r="A40" s="148" t="s">
        <v>151</v>
      </c>
      <c r="B40" s="168"/>
      <c r="C40" s="149"/>
      <c r="D40" s="150">
        <f>D37+D38</f>
        <v>0</v>
      </c>
      <c r="E40" s="177"/>
      <c r="F40" s="240">
        <f>F37+F38</f>
        <v>439563.34180672606</v>
      </c>
      <c r="G40" s="149"/>
      <c r="H40" s="240">
        <f>H37+H38</f>
        <v>1534547.2213257269</v>
      </c>
      <c r="I40" s="177"/>
      <c r="J40" s="240">
        <f>J37+J38</f>
        <v>1075080.3382178221</v>
      </c>
      <c r="K40" s="149"/>
      <c r="L40" s="240">
        <f>L37+L38</f>
        <v>685296.58602136362</v>
      </c>
      <c r="M40" s="149"/>
      <c r="N40" s="240">
        <f>N37+N38</f>
        <v>402725.98887741542</v>
      </c>
    </row>
    <row r="41" spans="1:14" ht="12" customHeight="1" thickBot="1" x14ac:dyDescent="0.2">
      <c r="A41" s="148" t="s">
        <v>152</v>
      </c>
      <c r="B41" s="168"/>
      <c r="C41" s="149"/>
      <c r="D41" s="150">
        <f>MAT!C27</f>
        <v>19240</v>
      </c>
      <c r="E41" s="177"/>
      <c r="F41" s="240">
        <f>MAT!E27</f>
        <v>38480</v>
      </c>
      <c r="G41" s="149"/>
      <c r="H41" s="240">
        <f>MAT!G27</f>
        <v>76960</v>
      </c>
      <c r="I41" s="177"/>
      <c r="J41" s="240">
        <f>MAT!I27</f>
        <v>80808</v>
      </c>
      <c r="K41" s="149"/>
      <c r="L41" s="240">
        <f>MAT!K27</f>
        <v>88888.800000000017</v>
      </c>
      <c r="M41" s="149"/>
      <c r="N41" s="240">
        <f>MAT!M27</f>
        <v>133333.20000000004</v>
      </c>
    </row>
    <row r="42" spans="1:14" ht="12" customHeight="1" thickBot="1" x14ac:dyDescent="0.2">
      <c r="A42" s="160" t="s">
        <v>153</v>
      </c>
      <c r="B42" s="168"/>
      <c r="C42" s="149"/>
      <c r="D42" s="150">
        <f>MAX(D40,D41)</f>
        <v>19240</v>
      </c>
      <c r="E42" s="177"/>
      <c r="F42" s="240">
        <f>MAX(F40,F41)</f>
        <v>439563.34180672606</v>
      </c>
      <c r="G42" s="149"/>
      <c r="H42" s="240">
        <f>MAX(H40,H41)</f>
        <v>1534547.2213257269</v>
      </c>
      <c r="I42" s="177"/>
      <c r="J42" s="240">
        <f>MAX(J40,J41)</f>
        <v>1075080.3382178221</v>
      </c>
      <c r="K42" s="149"/>
      <c r="L42" s="240">
        <f>MAX(L40,L41)</f>
        <v>685296.58602136362</v>
      </c>
      <c r="M42" s="149"/>
      <c r="N42" s="240">
        <f>MAX(N40,N41)</f>
        <v>402725.98887741542</v>
      </c>
    </row>
    <row r="43" spans="1:14" ht="12" customHeight="1" thickBot="1" x14ac:dyDescent="0.2">
      <c r="A43" s="160" t="s">
        <v>154</v>
      </c>
      <c r="B43" s="169"/>
      <c r="C43" s="161"/>
      <c r="D43" s="162">
        <f>D42</f>
        <v>19240</v>
      </c>
      <c r="E43" s="178"/>
      <c r="F43" s="241">
        <f>IF(F40&gt;F41,(IF(D43&gt;0,MAX(0,D43-F42))))</f>
        <v>0</v>
      </c>
      <c r="G43" s="161"/>
      <c r="H43" s="241" t="b">
        <f>IF(H40&gt;H41,(IF(F43&gt;0,MAX(0,F43-H42))))</f>
        <v>0</v>
      </c>
      <c r="I43" s="178"/>
      <c r="J43" s="241">
        <f>IF(J40&gt;J41,(IF(H43&gt;0,MAX(0,H43-J42))))</f>
        <v>0</v>
      </c>
      <c r="K43" s="161"/>
      <c r="L43" s="241" t="b">
        <f>IF(L40&gt;L41,(IF(J43&gt;0,MAX(0,J43-L42))))</f>
        <v>0</v>
      </c>
      <c r="M43" s="161"/>
      <c r="N43" s="241">
        <f>IF(N40&gt;N41,(IF(L43&gt;0,MAX(0,L43-N42))))</f>
        <v>0</v>
      </c>
    </row>
    <row r="44" spans="1:14" x14ac:dyDescent="0.15">
      <c r="A44" s="143" t="s">
        <v>63</v>
      </c>
      <c r="B44" s="140"/>
    </row>
    <row r="45" spans="1:14" x14ac:dyDescent="0.15">
      <c r="A45" s="143" t="s">
        <v>64</v>
      </c>
      <c r="B45" s="140"/>
    </row>
    <row r="46" spans="1:14" x14ac:dyDescent="0.15">
      <c r="A46" s="143"/>
      <c r="B46" s="140"/>
    </row>
    <row r="47" spans="1:14" x14ac:dyDescent="0.15">
      <c r="A47" s="143"/>
      <c r="B47" s="140"/>
    </row>
    <row r="48" spans="1:14" x14ac:dyDescent="0.15">
      <c r="A48" s="143"/>
      <c r="B48" s="144"/>
    </row>
    <row r="49" spans="1:6" x14ac:dyDescent="0.15">
      <c r="A49" s="143"/>
      <c r="B49" s="140"/>
      <c r="C49" s="71"/>
    </row>
    <row r="50" spans="1:6" x14ac:dyDescent="0.15">
      <c r="A50" s="143"/>
      <c r="B50" s="145"/>
    </row>
    <row r="51" spans="1:6" x14ac:dyDescent="0.15">
      <c r="A51" s="143"/>
      <c r="B51" s="140"/>
    </row>
    <row r="52" spans="1:6" x14ac:dyDescent="0.15">
      <c r="A52" s="143"/>
      <c r="B52" s="140"/>
    </row>
    <row r="53" spans="1:6" x14ac:dyDescent="0.15">
      <c r="A53" s="143"/>
      <c r="B53" s="143"/>
      <c r="D53" s="151"/>
    </row>
    <row r="54" spans="1:6" x14ac:dyDescent="0.15">
      <c r="A54" s="143"/>
      <c r="B54" s="143"/>
    </row>
    <row r="55" spans="1:6" x14ac:dyDescent="0.15">
      <c r="A55" s="143"/>
      <c r="B55" s="137"/>
    </row>
    <row r="56" spans="1:6" x14ac:dyDescent="0.15">
      <c r="A56" s="143"/>
      <c r="B56" s="146"/>
    </row>
    <row r="57" spans="1:6" x14ac:dyDescent="0.15">
      <c r="A57" s="143"/>
      <c r="B57" s="143"/>
    </row>
    <row r="58" spans="1:6" x14ac:dyDescent="0.15">
      <c r="A58" s="143"/>
      <c r="B58" s="147"/>
      <c r="F58" s="72"/>
    </row>
    <row r="60" spans="1:6" x14ac:dyDescent="0.15">
      <c r="B60" s="71"/>
    </row>
    <row r="61" spans="1:6" x14ac:dyDescent="0.15">
      <c r="B61" s="71"/>
    </row>
    <row r="62" spans="1:6" x14ac:dyDescent="0.15">
      <c r="D62" s="58"/>
    </row>
    <row r="63" spans="1:6" x14ac:dyDescent="0.15">
      <c r="D63" s="58"/>
    </row>
    <row r="64" spans="1:6" x14ac:dyDescent="0.15">
      <c r="D64" s="58"/>
    </row>
    <row r="65" spans="2:4" x14ac:dyDescent="0.15">
      <c r="D65" s="58"/>
    </row>
    <row r="68" spans="2:4" x14ac:dyDescent="0.15">
      <c r="B68" s="71"/>
    </row>
  </sheetData>
  <mergeCells count="6">
    <mergeCell ref="I4:J4"/>
    <mergeCell ref="K4:L4"/>
    <mergeCell ref="M4:N4"/>
    <mergeCell ref="C4:D4"/>
    <mergeCell ref="E4:F4"/>
    <mergeCell ref="G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/>
  </sheetViews>
  <sheetFormatPr defaultRowHeight="10.5" x14ac:dyDescent="0.15"/>
  <cols>
    <col min="1" max="1" width="42.7109375" style="1" customWidth="1"/>
    <col min="2" max="2" width="10.5703125" style="1" bestFit="1" customWidth="1"/>
    <col min="3" max="3" width="11.5703125" style="1" bestFit="1" customWidth="1"/>
    <col min="4" max="16384" width="9.140625" style="1"/>
  </cols>
  <sheetData>
    <row r="1" spans="1:13" ht="11.25" thickBot="1" x14ac:dyDescent="0.2"/>
    <row r="2" spans="1:13" ht="11.25" thickBot="1" x14ac:dyDescent="0.2">
      <c r="A2" s="232"/>
      <c r="B2" s="287" t="s">
        <v>140</v>
      </c>
      <c r="C2" s="288"/>
      <c r="D2" s="285" t="s">
        <v>141</v>
      </c>
      <c r="E2" s="286"/>
      <c r="F2" s="287" t="s">
        <v>142</v>
      </c>
      <c r="G2" s="288"/>
      <c r="H2" s="285" t="s">
        <v>143</v>
      </c>
      <c r="I2" s="286"/>
      <c r="J2" s="287" t="s">
        <v>144</v>
      </c>
      <c r="K2" s="288"/>
      <c r="L2" s="285" t="s">
        <v>145</v>
      </c>
      <c r="M2" s="286"/>
    </row>
    <row r="3" spans="1:13" s="228" customFormat="1" ht="11.25" thickBot="1" x14ac:dyDescent="0.2">
      <c r="A3" s="238" t="s">
        <v>38</v>
      </c>
      <c r="B3" s="229" t="s">
        <v>43</v>
      </c>
      <c r="C3" s="229" t="s">
        <v>43</v>
      </c>
      <c r="D3" s="231" t="s">
        <v>43</v>
      </c>
      <c r="E3" s="231" t="s">
        <v>43</v>
      </c>
      <c r="F3" s="229" t="s">
        <v>43</v>
      </c>
      <c r="G3" s="229" t="s">
        <v>43</v>
      </c>
      <c r="H3" s="231" t="s">
        <v>43</v>
      </c>
      <c r="I3" s="231" t="s">
        <v>43</v>
      </c>
      <c r="J3" s="229" t="s">
        <v>43</v>
      </c>
      <c r="K3" s="229" t="s">
        <v>43</v>
      </c>
      <c r="L3" s="231" t="s">
        <v>43</v>
      </c>
      <c r="M3" s="231" t="s">
        <v>43</v>
      </c>
    </row>
    <row r="4" spans="1:13" x14ac:dyDescent="0.15">
      <c r="A4" s="22"/>
      <c r="B4" s="119"/>
      <c r="C4" s="116"/>
      <c r="D4" s="119"/>
      <c r="E4" s="116"/>
      <c r="F4" s="119"/>
      <c r="G4" s="116"/>
      <c r="H4" s="119"/>
      <c r="I4" s="116"/>
      <c r="J4" s="119"/>
      <c r="K4" s="116"/>
      <c r="L4" s="119"/>
      <c r="M4" s="116"/>
    </row>
    <row r="5" spans="1:13" x14ac:dyDescent="0.15">
      <c r="A5" s="233" t="s">
        <v>97</v>
      </c>
      <c r="B5" s="119" t="s">
        <v>96</v>
      </c>
      <c r="C5" s="13">
        <f>COTI!D6</f>
        <v>100000</v>
      </c>
      <c r="D5" s="119" t="s">
        <v>96</v>
      </c>
      <c r="E5" s="13">
        <f>COTI!F6</f>
        <v>200000</v>
      </c>
      <c r="F5" s="119" t="s">
        <v>96</v>
      </c>
      <c r="G5" s="13">
        <f>COTI!H6</f>
        <v>400000</v>
      </c>
      <c r="H5" s="119" t="s">
        <v>96</v>
      </c>
      <c r="I5" s="13">
        <f>COTI!J6</f>
        <v>420000</v>
      </c>
      <c r="J5" s="119" t="s">
        <v>96</v>
      </c>
      <c r="K5" s="13">
        <f>COTI!L6</f>
        <v>462000.00000000006</v>
      </c>
      <c r="L5" s="119" t="s">
        <v>96</v>
      </c>
      <c r="M5" s="13">
        <f>COTI!N6</f>
        <v>693000.00000000012</v>
      </c>
    </row>
    <row r="6" spans="1:13" x14ac:dyDescent="0.15">
      <c r="A6" s="233" t="s">
        <v>98</v>
      </c>
      <c r="B6" s="119" t="s">
        <v>96</v>
      </c>
      <c r="C6" s="116"/>
      <c r="D6" s="119" t="s">
        <v>96</v>
      </c>
      <c r="E6" s="116"/>
      <c r="F6" s="119" t="s">
        <v>96</v>
      </c>
      <c r="G6" s="116"/>
      <c r="H6" s="119" t="s">
        <v>96</v>
      </c>
      <c r="I6" s="116"/>
      <c r="J6" s="119" t="s">
        <v>96</v>
      </c>
      <c r="K6" s="116"/>
      <c r="L6" s="119" t="s">
        <v>96</v>
      </c>
      <c r="M6" s="116"/>
    </row>
    <row r="7" spans="1:13" x14ac:dyDescent="0.15">
      <c r="A7" s="233" t="s">
        <v>99</v>
      </c>
      <c r="B7" s="119" t="s">
        <v>96</v>
      </c>
      <c r="C7" s="116"/>
      <c r="D7" s="119" t="s">
        <v>96</v>
      </c>
      <c r="E7" s="116"/>
      <c r="F7" s="119" t="s">
        <v>96</v>
      </c>
      <c r="G7" s="116"/>
      <c r="H7" s="119" t="s">
        <v>96</v>
      </c>
      <c r="I7" s="116"/>
      <c r="J7" s="119" t="s">
        <v>96</v>
      </c>
      <c r="K7" s="116"/>
      <c r="L7" s="119" t="s">
        <v>96</v>
      </c>
      <c r="M7" s="116"/>
    </row>
    <row r="8" spans="1:13" x14ac:dyDescent="0.15">
      <c r="A8" s="233" t="s">
        <v>100</v>
      </c>
      <c r="B8" s="119" t="s">
        <v>96</v>
      </c>
      <c r="C8" s="116"/>
      <c r="D8" s="119" t="s">
        <v>96</v>
      </c>
      <c r="E8" s="116"/>
      <c r="F8" s="119" t="s">
        <v>96</v>
      </c>
      <c r="G8" s="116"/>
      <c r="H8" s="119" t="s">
        <v>96</v>
      </c>
      <c r="I8" s="116"/>
      <c r="J8" s="119" t="s">
        <v>96</v>
      </c>
      <c r="K8" s="116"/>
      <c r="L8" s="119" t="s">
        <v>96</v>
      </c>
      <c r="M8" s="116"/>
    </row>
    <row r="9" spans="1:13" x14ac:dyDescent="0.15">
      <c r="A9" s="233" t="s">
        <v>101</v>
      </c>
      <c r="B9" s="119"/>
      <c r="C9" s="116"/>
      <c r="D9" s="119"/>
      <c r="E9" s="116"/>
      <c r="F9" s="119"/>
      <c r="G9" s="116"/>
      <c r="H9" s="119"/>
      <c r="I9" s="116"/>
      <c r="J9" s="119"/>
      <c r="K9" s="116"/>
      <c r="L9" s="119"/>
      <c r="M9" s="116"/>
    </row>
    <row r="10" spans="1:13" x14ac:dyDescent="0.15">
      <c r="A10" s="233" t="s">
        <v>102</v>
      </c>
      <c r="B10" s="119" t="s">
        <v>96</v>
      </c>
      <c r="C10" s="116"/>
      <c r="D10" s="119" t="s">
        <v>96</v>
      </c>
      <c r="E10" s="116"/>
      <c r="F10" s="119" t="s">
        <v>96</v>
      </c>
      <c r="G10" s="116"/>
      <c r="H10" s="119" t="s">
        <v>96</v>
      </c>
      <c r="I10" s="116"/>
      <c r="J10" s="119" t="s">
        <v>96</v>
      </c>
      <c r="K10" s="116"/>
      <c r="L10" s="119" t="s">
        <v>96</v>
      </c>
      <c r="M10" s="116"/>
    </row>
    <row r="11" spans="1:13" x14ac:dyDescent="0.15">
      <c r="A11" s="233" t="s">
        <v>103</v>
      </c>
      <c r="B11" s="119"/>
      <c r="C11" s="116"/>
      <c r="D11" s="119"/>
      <c r="E11" s="116"/>
      <c r="F11" s="119"/>
      <c r="G11" s="116"/>
      <c r="H11" s="119"/>
      <c r="I11" s="116"/>
      <c r="J11" s="119"/>
      <c r="K11" s="116"/>
      <c r="L11" s="119"/>
      <c r="M11" s="116"/>
    </row>
    <row r="12" spans="1:13" ht="21" x14ac:dyDescent="0.15">
      <c r="A12" s="234" t="s">
        <v>104</v>
      </c>
      <c r="B12" s="119" t="s">
        <v>96</v>
      </c>
      <c r="C12" s="116"/>
      <c r="D12" s="119" t="s">
        <v>96</v>
      </c>
      <c r="E12" s="116"/>
      <c r="F12" s="119" t="s">
        <v>96</v>
      </c>
      <c r="G12" s="116"/>
      <c r="H12" s="119" t="s">
        <v>96</v>
      </c>
      <c r="I12" s="116"/>
      <c r="J12" s="119" t="s">
        <v>96</v>
      </c>
      <c r="K12" s="116"/>
      <c r="L12" s="119" t="s">
        <v>96</v>
      </c>
      <c r="M12" s="116"/>
    </row>
    <row r="13" spans="1:13" x14ac:dyDescent="0.15">
      <c r="A13" s="234" t="s">
        <v>21</v>
      </c>
      <c r="B13" s="119"/>
      <c r="C13" s="116"/>
      <c r="D13" s="119"/>
      <c r="E13" s="116"/>
      <c r="F13" s="119"/>
      <c r="G13" s="116"/>
      <c r="H13" s="119"/>
      <c r="I13" s="116"/>
      <c r="J13" s="119"/>
      <c r="K13" s="116"/>
      <c r="L13" s="119"/>
      <c r="M13" s="116"/>
    </row>
    <row r="14" spans="1:13" x14ac:dyDescent="0.15">
      <c r="A14" s="234" t="s">
        <v>105</v>
      </c>
      <c r="B14" s="119" t="s">
        <v>96</v>
      </c>
      <c r="C14" s="116"/>
      <c r="D14" s="119" t="s">
        <v>96</v>
      </c>
      <c r="E14" s="116"/>
      <c r="F14" s="119" t="s">
        <v>96</v>
      </c>
      <c r="G14" s="116"/>
      <c r="H14" s="119" t="s">
        <v>96</v>
      </c>
      <c r="I14" s="116"/>
      <c r="J14" s="119" t="s">
        <v>96</v>
      </c>
      <c r="K14" s="116"/>
      <c r="L14" s="119" t="s">
        <v>96</v>
      </c>
      <c r="M14" s="116"/>
    </row>
    <row r="15" spans="1:13" x14ac:dyDescent="0.15">
      <c r="A15" s="234" t="s">
        <v>106</v>
      </c>
      <c r="B15" s="122"/>
      <c r="C15" s="13">
        <f>SUM(B6:B15)</f>
        <v>0</v>
      </c>
      <c r="D15" s="122"/>
      <c r="E15" s="13">
        <f>SUM(D6:D15)</f>
        <v>0</v>
      </c>
      <c r="F15" s="122"/>
      <c r="G15" s="13">
        <f>SUM(F6:F15)</f>
        <v>0</v>
      </c>
      <c r="H15" s="122"/>
      <c r="I15" s="13">
        <f>SUM(H6:H15)</f>
        <v>0</v>
      </c>
      <c r="J15" s="122"/>
      <c r="K15" s="13">
        <f>SUM(J6:J15)</f>
        <v>0</v>
      </c>
      <c r="L15" s="122"/>
      <c r="M15" s="13">
        <f>SUM(L6:L15)</f>
        <v>0</v>
      </c>
    </row>
    <row r="16" spans="1:13" ht="21" x14ac:dyDescent="0.15">
      <c r="A16" s="234" t="s">
        <v>107</v>
      </c>
      <c r="B16" s="119"/>
      <c r="C16" s="116"/>
      <c r="D16" s="119"/>
      <c r="E16" s="116"/>
      <c r="F16" s="119"/>
      <c r="G16" s="116"/>
      <c r="H16" s="119"/>
      <c r="I16" s="116"/>
      <c r="J16" s="119"/>
      <c r="K16" s="116"/>
      <c r="L16" s="119"/>
      <c r="M16" s="116"/>
    </row>
    <row r="17" spans="1:13" x14ac:dyDescent="0.15">
      <c r="A17" s="234" t="s">
        <v>108</v>
      </c>
      <c r="B17" s="119"/>
      <c r="C17" s="116"/>
      <c r="D17" s="119"/>
      <c r="E17" s="116"/>
      <c r="F17" s="119"/>
      <c r="G17" s="116"/>
      <c r="H17" s="119"/>
      <c r="I17" s="116"/>
      <c r="J17" s="119"/>
      <c r="K17" s="116"/>
      <c r="L17" s="119"/>
      <c r="M17" s="116"/>
    </row>
    <row r="18" spans="1:13" ht="21" x14ac:dyDescent="0.15">
      <c r="A18" s="234" t="s">
        <v>109</v>
      </c>
      <c r="B18" s="119" t="s">
        <v>96</v>
      </c>
      <c r="C18" s="116"/>
      <c r="D18" s="119" t="s">
        <v>96</v>
      </c>
      <c r="E18" s="116"/>
      <c r="F18" s="119" t="s">
        <v>96</v>
      </c>
      <c r="G18" s="116"/>
      <c r="H18" s="119" t="s">
        <v>96</v>
      </c>
      <c r="I18" s="116"/>
      <c r="J18" s="119" t="s">
        <v>96</v>
      </c>
      <c r="K18" s="116"/>
      <c r="L18" s="119" t="s">
        <v>96</v>
      </c>
      <c r="M18" s="116"/>
    </row>
    <row r="19" spans="1:13" ht="21" x14ac:dyDescent="0.15">
      <c r="A19" s="234" t="s">
        <v>110</v>
      </c>
      <c r="B19" s="119"/>
      <c r="C19" s="116"/>
      <c r="D19" s="119"/>
      <c r="E19" s="116"/>
      <c r="F19" s="119"/>
      <c r="G19" s="116"/>
      <c r="H19" s="119"/>
      <c r="I19" s="116"/>
      <c r="J19" s="119"/>
      <c r="K19" s="116"/>
      <c r="L19" s="119"/>
      <c r="M19" s="116"/>
    </row>
    <row r="20" spans="1:13" x14ac:dyDescent="0.15">
      <c r="A20" s="234" t="s">
        <v>111</v>
      </c>
      <c r="B20" s="119" t="s">
        <v>96</v>
      </c>
      <c r="C20" s="116"/>
      <c r="D20" s="119" t="s">
        <v>96</v>
      </c>
      <c r="E20" s="116"/>
      <c r="F20" s="119" t="s">
        <v>96</v>
      </c>
      <c r="G20" s="116"/>
      <c r="H20" s="119" t="s">
        <v>96</v>
      </c>
      <c r="I20" s="116"/>
      <c r="J20" s="119" t="s">
        <v>96</v>
      </c>
      <c r="K20" s="116"/>
      <c r="L20" s="119" t="s">
        <v>96</v>
      </c>
      <c r="M20" s="116"/>
    </row>
    <row r="21" spans="1:13" ht="21" x14ac:dyDescent="0.15">
      <c r="A21" s="234" t="s">
        <v>112</v>
      </c>
      <c r="B21" s="119"/>
      <c r="C21" s="116"/>
      <c r="D21" s="119"/>
      <c r="E21" s="116"/>
      <c r="F21" s="119"/>
      <c r="G21" s="116"/>
      <c r="H21" s="119"/>
      <c r="I21" s="116"/>
      <c r="J21" s="119"/>
      <c r="K21" s="116"/>
      <c r="L21" s="119"/>
      <c r="M21" s="116"/>
    </row>
    <row r="22" spans="1:13" ht="21" x14ac:dyDescent="0.15">
      <c r="A22" s="234" t="s">
        <v>113</v>
      </c>
      <c r="B22" s="119" t="s">
        <v>96</v>
      </c>
      <c r="C22" s="116"/>
      <c r="D22" s="119" t="s">
        <v>96</v>
      </c>
      <c r="E22" s="116"/>
      <c r="F22" s="119" t="s">
        <v>96</v>
      </c>
      <c r="G22" s="116"/>
      <c r="H22" s="119" t="s">
        <v>96</v>
      </c>
      <c r="I22" s="116"/>
      <c r="J22" s="119" t="s">
        <v>96</v>
      </c>
      <c r="K22" s="116"/>
      <c r="L22" s="119" t="s">
        <v>96</v>
      </c>
      <c r="M22" s="116"/>
    </row>
    <row r="23" spans="1:13" x14ac:dyDescent="0.15">
      <c r="A23" s="234" t="s">
        <v>114</v>
      </c>
      <c r="B23" s="119"/>
      <c r="C23" s="116"/>
      <c r="D23" s="119"/>
      <c r="E23" s="116"/>
      <c r="F23" s="119"/>
      <c r="G23" s="116"/>
      <c r="H23" s="119"/>
      <c r="I23" s="116"/>
      <c r="J23" s="119"/>
      <c r="K23" s="116"/>
      <c r="L23" s="119"/>
      <c r="M23" s="116"/>
    </row>
    <row r="24" spans="1:13" ht="11.25" thickBot="1" x14ac:dyDescent="0.2">
      <c r="A24" s="234" t="s">
        <v>115</v>
      </c>
      <c r="B24" s="119"/>
      <c r="C24" s="123">
        <f>SUM(B16:B24)</f>
        <v>0</v>
      </c>
      <c r="D24" s="119"/>
      <c r="E24" s="123">
        <f>SUM(D16:D24)</f>
        <v>0</v>
      </c>
      <c r="F24" s="119"/>
      <c r="G24" s="123">
        <f>SUM(F16:F24)</f>
        <v>0</v>
      </c>
      <c r="H24" s="119"/>
      <c r="I24" s="123">
        <f>SUM(H16:H24)</f>
        <v>0</v>
      </c>
      <c r="J24" s="119"/>
      <c r="K24" s="123">
        <f>SUM(J16:J24)</f>
        <v>0</v>
      </c>
      <c r="L24" s="119"/>
      <c r="M24" s="123">
        <f>SUM(L16:L24)</f>
        <v>0</v>
      </c>
    </row>
    <row r="25" spans="1:13" ht="11.25" thickBot="1" x14ac:dyDescent="0.2">
      <c r="A25" s="235" t="s">
        <v>116</v>
      </c>
      <c r="B25" s="121"/>
      <c r="C25" s="124">
        <f>C5+C15-C24</f>
        <v>100000</v>
      </c>
      <c r="D25" s="121"/>
      <c r="E25" s="124">
        <f>E5+E15-E24</f>
        <v>200000</v>
      </c>
      <c r="F25" s="121"/>
      <c r="G25" s="124">
        <f>G5+G15-G24</f>
        <v>400000</v>
      </c>
      <c r="H25" s="121"/>
      <c r="I25" s="124">
        <f>I5+I15-I24</f>
        <v>420000</v>
      </c>
      <c r="J25" s="121"/>
      <c r="K25" s="124">
        <f>K5+K15-K24</f>
        <v>462000.00000000006</v>
      </c>
      <c r="L25" s="121"/>
      <c r="M25" s="124">
        <f>M5+M15-M24</f>
        <v>693000.00000000012</v>
      </c>
    </row>
    <row r="26" spans="1:13" x14ac:dyDescent="0.15">
      <c r="A26" s="233"/>
      <c r="B26" s="119"/>
      <c r="C26" s="125"/>
      <c r="D26" s="119"/>
      <c r="E26" s="125"/>
      <c r="F26" s="119"/>
      <c r="G26" s="125"/>
      <c r="H26" s="119"/>
      <c r="I26" s="125"/>
      <c r="J26" s="119"/>
      <c r="K26" s="125"/>
      <c r="L26" s="119"/>
      <c r="M26" s="125"/>
    </row>
    <row r="27" spans="1:13" x14ac:dyDescent="0.15">
      <c r="A27" s="233" t="s">
        <v>121</v>
      </c>
      <c r="B27" s="230"/>
      <c r="C27" s="126">
        <f>C25*$C$33</f>
        <v>19240</v>
      </c>
      <c r="D27" s="230"/>
      <c r="E27" s="126">
        <f>E25*$C$33</f>
        <v>38480</v>
      </c>
      <c r="F27" s="230"/>
      <c r="G27" s="126">
        <f>G25*$C$33</f>
        <v>76960</v>
      </c>
      <c r="H27" s="230"/>
      <c r="I27" s="126">
        <f>I25*$C$33</f>
        <v>80808</v>
      </c>
      <c r="J27" s="230"/>
      <c r="K27" s="126">
        <f>K25*$C$33</f>
        <v>88888.800000000017</v>
      </c>
      <c r="L27" s="230"/>
      <c r="M27" s="126">
        <f>M25*$C$33</f>
        <v>133333.20000000004</v>
      </c>
    </row>
    <row r="28" spans="1:13" ht="11.25" thickBot="1" x14ac:dyDescent="0.2">
      <c r="A28" s="236"/>
      <c r="B28" s="120"/>
      <c r="C28" s="118"/>
      <c r="D28" s="120"/>
      <c r="E28" s="118"/>
      <c r="F28" s="120"/>
      <c r="G28" s="118"/>
      <c r="H28" s="120"/>
      <c r="I28" s="118"/>
      <c r="J28" s="120"/>
      <c r="K28" s="118"/>
      <c r="L28" s="120"/>
      <c r="M28" s="118"/>
    </row>
    <row r="29" spans="1:13" x14ac:dyDescent="0.15">
      <c r="A29" s="237"/>
    </row>
    <row r="30" spans="1:13" x14ac:dyDescent="0.15">
      <c r="A30" s="237"/>
      <c r="C30" s="270">
        <f>18.5%</f>
        <v>0.185</v>
      </c>
    </row>
    <row r="31" spans="1:13" x14ac:dyDescent="0.15">
      <c r="C31" s="270">
        <f>C30*0%</f>
        <v>0</v>
      </c>
    </row>
    <row r="32" spans="1:13" x14ac:dyDescent="0.15">
      <c r="B32" s="1" t="s">
        <v>96</v>
      </c>
      <c r="C32" s="270">
        <f>C30+C31</f>
        <v>0.185</v>
      </c>
    </row>
    <row r="33" spans="2:3" x14ac:dyDescent="0.15">
      <c r="C33" s="270">
        <f>C32*104%</f>
        <v>0.19240000000000002</v>
      </c>
    </row>
    <row r="38" spans="2:3" x14ac:dyDescent="0.15">
      <c r="B38" s="1" t="s">
        <v>96</v>
      </c>
    </row>
    <row r="40" spans="2:3" x14ac:dyDescent="0.15">
      <c r="B40" s="1" t="s">
        <v>96</v>
      </c>
    </row>
    <row r="43" spans="2:3" x14ac:dyDescent="0.15">
      <c r="B43" s="1" t="s">
        <v>96</v>
      </c>
    </row>
    <row r="45" spans="2:3" x14ac:dyDescent="0.15">
      <c r="B45" s="1" t="s">
        <v>117</v>
      </c>
      <c r="C45" s="1" t="s">
        <v>96</v>
      </c>
    </row>
    <row r="47" spans="2:3" x14ac:dyDescent="0.15">
      <c r="B47" s="1" t="s">
        <v>96</v>
      </c>
    </row>
    <row r="49" spans="2:2" x14ac:dyDescent="0.15">
      <c r="B49" s="1" t="s">
        <v>96</v>
      </c>
    </row>
    <row r="51" spans="2:2" x14ac:dyDescent="0.15">
      <c r="B51" s="1" t="s">
        <v>96</v>
      </c>
    </row>
  </sheetData>
  <mergeCells count="6"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/>
  </sheetViews>
  <sheetFormatPr defaultRowHeight="10.5" x14ac:dyDescent="0.15"/>
  <cols>
    <col min="1" max="1" width="17.7109375" style="1" customWidth="1"/>
    <col min="2" max="3" width="13.140625" style="1" customWidth="1"/>
    <col min="4" max="4" width="11.7109375" style="1" bestFit="1" customWidth="1"/>
    <col min="5" max="5" width="13.140625" style="1" customWidth="1"/>
    <col min="6" max="7" width="11.85546875" style="1" customWidth="1"/>
    <col min="8" max="8" width="7.7109375" style="1" customWidth="1"/>
    <col min="9" max="9" width="11.85546875" style="1" customWidth="1"/>
    <col min="10" max="10" width="13.28515625" style="1" bestFit="1" customWidth="1"/>
    <col min="11" max="16384" width="9.140625" style="1"/>
  </cols>
  <sheetData>
    <row r="1" spans="1:10" x14ac:dyDescent="0.15">
      <c r="A1" s="32" t="s">
        <v>27</v>
      </c>
    </row>
    <row r="2" spans="1:10" x14ac:dyDescent="0.15">
      <c r="A2" s="32" t="s">
        <v>127</v>
      </c>
    </row>
    <row r="3" spans="1:10" ht="11.25" thickBot="1" x14ac:dyDescent="0.2">
      <c r="A3" s="32"/>
    </row>
    <row r="4" spans="1:10" s="36" customFormat="1" ht="15" customHeight="1" thickBot="1" x14ac:dyDescent="0.3">
      <c r="A4" s="33" t="s">
        <v>38</v>
      </c>
      <c r="B4" s="34" t="s">
        <v>22</v>
      </c>
      <c r="C4" s="35" t="s">
        <v>20</v>
      </c>
      <c r="D4" s="35" t="s">
        <v>23</v>
      </c>
      <c r="E4" s="50"/>
      <c r="F4" s="289" t="s">
        <v>21</v>
      </c>
      <c r="G4" s="290"/>
      <c r="H4" s="291"/>
      <c r="I4" s="35"/>
      <c r="J4" s="35" t="s">
        <v>7</v>
      </c>
    </row>
    <row r="5" spans="1:10" s="41" customFormat="1" ht="11.25" thickBot="1" x14ac:dyDescent="0.3">
      <c r="A5" s="38"/>
      <c r="B5" s="39" t="s">
        <v>25</v>
      </c>
      <c r="C5" s="40"/>
      <c r="D5" s="40"/>
      <c r="E5" s="40"/>
      <c r="F5" s="40" t="str">
        <f>B5</f>
        <v>01.04.2017</v>
      </c>
      <c r="G5" s="40" t="s">
        <v>20</v>
      </c>
      <c r="H5" s="40" t="s">
        <v>23</v>
      </c>
      <c r="I5" s="40" t="s">
        <v>24</v>
      </c>
      <c r="J5" s="40" t="s">
        <v>26</v>
      </c>
    </row>
    <row r="6" spans="1:10" x14ac:dyDescent="0.15">
      <c r="A6" s="21" t="s">
        <v>10</v>
      </c>
      <c r="B6" s="25">
        <f>SUMIF('FA CA'!$C$3:$C$138,A6,'FA CA'!$E$3:$E$138)</f>
        <v>349829</v>
      </c>
      <c r="C6" s="25">
        <f>SUMIF('FA CA'!$C$3:$C$138,FAS!A6,'FA CA'!$F$3:$F$138)</f>
        <v>850243</v>
      </c>
      <c r="D6" s="26">
        <f>0</f>
        <v>0</v>
      </c>
      <c r="E6" s="28">
        <f>B6+C6-D6</f>
        <v>1200072</v>
      </c>
      <c r="F6" s="25">
        <f>SUMIF('FA CA'!$C$3:$C$138,FAS!A6,'FA CA'!$K$3:$K$138)</f>
        <v>14554.136299916725</v>
      </c>
      <c r="G6" s="25">
        <f>SUMIF('FA CA'!$C$3:$C$138,FAS!A6,'FA CA'!$L$3:$L$138)</f>
        <v>37239.869123764787</v>
      </c>
      <c r="H6" s="26">
        <f>0</f>
        <v>0</v>
      </c>
      <c r="I6" s="28">
        <f>F6+G6-H6</f>
        <v>51794.005423681512</v>
      </c>
      <c r="J6" s="28">
        <f>E6-I6</f>
        <v>1148277.9945763184</v>
      </c>
    </row>
    <row r="7" spans="1:10" x14ac:dyDescent="0.15">
      <c r="A7" s="22" t="s">
        <v>11</v>
      </c>
      <c r="B7" s="31">
        <f>SUMIF('FA CA'!$C$3:$C$138,A7,'FA CA'!$E$3:$E$138)</f>
        <v>439314</v>
      </c>
      <c r="C7" s="10">
        <f>SUMIF('FA CA'!$C$3:$C$138,FAS!A7,'FA CA'!$F$3:$F$138)</f>
        <v>830114</v>
      </c>
      <c r="D7" s="27">
        <f>0</f>
        <v>0</v>
      </c>
      <c r="E7" s="29">
        <f t="shared" ref="E7:E12" si="0">B7+C7-D7</f>
        <v>1269428</v>
      </c>
      <c r="F7" s="10">
        <f>SUMIF('FA CA'!$C$3:$C$138,FAS!A7,'FA CA'!$K$3:$K$138)</f>
        <v>68002.58759285952</v>
      </c>
      <c r="G7" s="10">
        <f>SUMIF('FA CA'!$C$3:$C$138,FAS!A7,'FA CA'!$L$3:$L$138)</f>
        <v>130218.89929925583</v>
      </c>
      <c r="H7" s="27">
        <f>0</f>
        <v>0</v>
      </c>
      <c r="I7" s="29">
        <f t="shared" ref="I7:I12" si="1">F7+G7-H7</f>
        <v>198221.48689211535</v>
      </c>
      <c r="J7" s="29">
        <f t="shared" ref="J7:J12" si="2">E7-I7</f>
        <v>1071206.5131078847</v>
      </c>
    </row>
    <row r="8" spans="1:10" x14ac:dyDescent="0.15">
      <c r="A8" s="22" t="s">
        <v>12</v>
      </c>
      <c r="B8" s="31">
        <f>SUMIF('FA CA'!$C$3:$C$138,A8,'FA CA'!$E$3:$E$138)</f>
        <v>264361</v>
      </c>
      <c r="C8" s="10">
        <f>SUMIF('FA CA'!$C$3:$C$138,FAS!A8,'FA CA'!$F$3:$F$138)</f>
        <v>1371997</v>
      </c>
      <c r="D8" s="27">
        <f>0</f>
        <v>0</v>
      </c>
      <c r="E8" s="29">
        <f t="shared" si="0"/>
        <v>1636358</v>
      </c>
      <c r="F8" s="10">
        <f>SUMIF('FA CA'!$C$3:$C$138,FAS!A8,'FA CA'!$K$3:$K$138)</f>
        <v>65716.701658789505</v>
      </c>
      <c r="G8" s="10">
        <f>SUMIF('FA CA'!$C$3:$C$138,FAS!A8,'FA CA'!$L$3:$L$138)</f>
        <v>305510.65649442951</v>
      </c>
      <c r="H8" s="27">
        <f>0</f>
        <v>0</v>
      </c>
      <c r="I8" s="29">
        <f t="shared" si="1"/>
        <v>371227.35815321899</v>
      </c>
      <c r="J8" s="29">
        <f t="shared" si="2"/>
        <v>1265130.6418467811</v>
      </c>
    </row>
    <row r="9" spans="1:10" x14ac:dyDescent="0.15">
      <c r="A9" s="22" t="s">
        <v>13</v>
      </c>
      <c r="B9" s="31">
        <f>SUMIF('FA CA'!$C$3:$C$138,A9,'FA CA'!$E$3:$E$138)</f>
        <v>1347349.5</v>
      </c>
      <c r="C9" s="10">
        <f>SUMIF('FA CA'!$C$3:$C$138,FAS!A9,'FA CA'!$F$3:$F$138)</f>
        <v>1823511</v>
      </c>
      <c r="D9" s="27">
        <f>0</f>
        <v>0</v>
      </c>
      <c r="E9" s="29">
        <f t="shared" si="0"/>
        <v>3170860.5</v>
      </c>
      <c r="F9" s="10">
        <f>SUMIF('FA CA'!$C$3:$C$138,FAS!A9,'FA CA'!$K$3:$K$138)</f>
        <v>145552.34996732266</v>
      </c>
      <c r="G9" s="10">
        <f>SUMIF('FA CA'!$C$3:$C$138,FAS!A9,'FA CA'!$L$3:$L$138)</f>
        <v>210138.41803466965</v>
      </c>
      <c r="H9" s="27">
        <f>0</f>
        <v>0</v>
      </c>
      <c r="I9" s="29">
        <f t="shared" si="1"/>
        <v>355690.76800199231</v>
      </c>
      <c r="J9" s="29">
        <f t="shared" si="2"/>
        <v>2815169.7319980077</v>
      </c>
    </row>
    <row r="10" spans="1:10" x14ac:dyDescent="0.15">
      <c r="A10" s="22" t="s">
        <v>14</v>
      </c>
      <c r="B10" s="31">
        <f>SUMIF('FA CA'!$C$3:$C$138,A10,'FA CA'!$E$3:$E$138)</f>
        <v>511636</v>
      </c>
      <c r="C10" s="10">
        <f>SUMIF('FA CA'!$C$3:$C$138,FAS!A10,'FA CA'!$F$3:$F$138)</f>
        <v>849072</v>
      </c>
      <c r="D10" s="27">
        <f>0</f>
        <v>0</v>
      </c>
      <c r="E10" s="29">
        <f t="shared" si="0"/>
        <v>1360708</v>
      </c>
      <c r="F10" s="10">
        <f>SUMIF('FA CA'!$C$3:$C$138,FAS!A10,'FA CA'!$K$3:$K$138)</f>
        <v>39814.664317186871</v>
      </c>
      <c r="G10" s="10">
        <f>SUMIF('FA CA'!$C$3:$C$138,FAS!A10,'FA CA'!$L$3:$L$138)</f>
        <v>75439.999895760309</v>
      </c>
      <c r="H10" s="27">
        <f>0</f>
        <v>0</v>
      </c>
      <c r="I10" s="29">
        <f t="shared" si="1"/>
        <v>115254.66421294719</v>
      </c>
      <c r="J10" s="29">
        <f t="shared" si="2"/>
        <v>1245453.3357870528</v>
      </c>
    </row>
    <row r="11" spans="1:10" ht="21" x14ac:dyDescent="0.15">
      <c r="A11" s="183" t="s">
        <v>15</v>
      </c>
      <c r="B11" s="31">
        <f>SUMIF('FA CA'!$C$3:$C$138,A11,'FA CA'!$E$3:$E$138)</f>
        <v>449678</v>
      </c>
      <c r="C11" s="10">
        <f>SUMIF('FA CA'!$C$3:$C$138,FAS!A11,'FA CA'!$F$3:$F$138)</f>
        <v>1746764</v>
      </c>
      <c r="D11" s="27">
        <f>0</f>
        <v>0</v>
      </c>
      <c r="E11" s="29">
        <f t="shared" si="0"/>
        <v>2196442</v>
      </c>
      <c r="F11" s="10">
        <f>SUMIF('FA CA'!$C$3:$C$138,FAS!A11,'FA CA'!$K$3:$K$138)</f>
        <v>124278.55978593043</v>
      </c>
      <c r="G11" s="10">
        <f>SUMIF('FA CA'!$C$3:$C$138,FAS!A11,'FA CA'!$L$3:$L$138)</f>
        <v>523856.69262228574</v>
      </c>
      <c r="H11" s="27">
        <f>0</f>
        <v>0</v>
      </c>
      <c r="I11" s="29">
        <f t="shared" si="1"/>
        <v>648135.25240821613</v>
      </c>
      <c r="J11" s="29">
        <f t="shared" si="2"/>
        <v>1548306.7475917838</v>
      </c>
    </row>
    <row r="12" spans="1:10" ht="11.25" thickBot="1" x14ac:dyDescent="0.2">
      <c r="A12" s="24" t="s">
        <v>16</v>
      </c>
      <c r="B12" s="49">
        <f>SUMIF('FA CA'!$C$3:$C$138,A12,'FA CA'!$E$3:$E$138)</f>
        <v>2509119</v>
      </c>
      <c r="C12" s="14">
        <f>SUMIF('FA CA'!$C$3:$C$138,FAS!A12,'FA CA'!$F$3:$F$138)</f>
        <v>2252716</v>
      </c>
      <c r="D12" s="47">
        <f>0</f>
        <v>0</v>
      </c>
      <c r="E12" s="30">
        <f t="shared" si="0"/>
        <v>4761835</v>
      </c>
      <c r="F12" s="14">
        <f>SUMIF('FA CA'!$C$3:$C$138,FAS!A12,'FA CA'!$K$3:$K$138)</f>
        <v>451131.49661275302</v>
      </c>
      <c r="G12" s="14">
        <f>SUMIF('FA CA'!$C$3:$C$138,FAS!A12,'FA CA'!$L$3:$L$138)</f>
        <v>431083.8203360918</v>
      </c>
      <c r="H12" s="47">
        <f>0</f>
        <v>0</v>
      </c>
      <c r="I12" s="30">
        <f t="shared" si="1"/>
        <v>882215.31694884482</v>
      </c>
      <c r="J12" s="30">
        <f t="shared" si="2"/>
        <v>3879619.6830511549</v>
      </c>
    </row>
    <row r="13" spans="1:10" ht="11.25" thickBot="1" x14ac:dyDescent="0.2">
      <c r="B13" s="48">
        <f t="shared" ref="B13:J13" si="3">SUM(B6:B12)</f>
        <v>5871286.5</v>
      </c>
      <c r="C13" s="48">
        <f t="shared" si="3"/>
        <v>9724417</v>
      </c>
      <c r="D13" s="48">
        <f t="shared" si="3"/>
        <v>0</v>
      </c>
      <c r="E13" s="48">
        <f t="shared" si="3"/>
        <v>15595703.5</v>
      </c>
      <c r="F13" s="48">
        <f t="shared" si="3"/>
        <v>909050.49623475876</v>
      </c>
      <c r="G13" s="48">
        <f t="shared" si="3"/>
        <v>1713488.3558062576</v>
      </c>
      <c r="H13" s="48">
        <f t="shared" si="3"/>
        <v>0</v>
      </c>
      <c r="I13" s="48">
        <f t="shared" si="3"/>
        <v>2622538.8520410163</v>
      </c>
      <c r="J13" s="48">
        <f t="shared" si="3"/>
        <v>12973164.647958983</v>
      </c>
    </row>
    <row r="15" spans="1:10" ht="11.25" thickBot="1" x14ac:dyDescent="0.2"/>
    <row r="16" spans="1:10" ht="11.25" thickBot="1" x14ac:dyDescent="0.2">
      <c r="A16" s="204" t="s">
        <v>38</v>
      </c>
      <c r="B16" s="205" t="s">
        <v>22</v>
      </c>
      <c r="C16" s="206" t="s">
        <v>20</v>
      </c>
      <c r="D16" s="206" t="s">
        <v>23</v>
      </c>
      <c r="E16" s="224"/>
      <c r="F16" s="292" t="s">
        <v>21</v>
      </c>
      <c r="G16" s="293"/>
      <c r="H16" s="294"/>
      <c r="I16" s="206"/>
      <c r="J16" s="206" t="s">
        <v>7</v>
      </c>
    </row>
    <row r="17" spans="1:11" ht="11.25" thickBot="1" x14ac:dyDescent="0.2">
      <c r="A17" s="207"/>
      <c r="B17" s="208" t="s">
        <v>128</v>
      </c>
      <c r="C17" s="209"/>
      <c r="D17" s="209"/>
      <c r="E17" s="209"/>
      <c r="F17" s="209" t="str">
        <f>B17</f>
        <v>01.04.2018</v>
      </c>
      <c r="G17" s="209" t="s">
        <v>20</v>
      </c>
      <c r="H17" s="209" t="s">
        <v>23</v>
      </c>
      <c r="I17" s="209" t="s">
        <v>24</v>
      </c>
      <c r="J17" s="209" t="s">
        <v>129</v>
      </c>
    </row>
    <row r="18" spans="1:11" x14ac:dyDescent="0.15">
      <c r="A18" s="211" t="s">
        <v>10</v>
      </c>
      <c r="B18" s="189">
        <f>J6</f>
        <v>1148277.9945763184</v>
      </c>
      <c r="C18" s="189">
        <f>SUMIF('FA CA'!$C$141:$C$148,FAS!A18,'FA CA'!$F$141:$F$148)</f>
        <v>445500</v>
      </c>
      <c r="D18" s="212">
        <f>0</f>
        <v>0</v>
      </c>
      <c r="E18" s="213">
        <f>B18+C18-D18</f>
        <v>1593777.9945763184</v>
      </c>
      <c r="F18" s="189">
        <f>B18*K18%</f>
        <v>55924.483625742992</v>
      </c>
      <c r="G18" s="189">
        <f>SUMIF('FA CA'!$C$141:$C$148,FAS!A18,'FA CA'!$L$141:$L$148)</f>
        <v>10581.074856376486</v>
      </c>
      <c r="H18" s="212">
        <f>0</f>
        <v>0</v>
      </c>
      <c r="I18" s="213">
        <f>F18+G18-H18</f>
        <v>66505.558482119479</v>
      </c>
      <c r="J18" s="213">
        <f>E18-I18</f>
        <v>1527272.4360941988</v>
      </c>
      <c r="K18" s="239">
        <v>4.8702913310097458</v>
      </c>
    </row>
    <row r="19" spans="1:11" x14ac:dyDescent="0.15">
      <c r="A19" s="215" t="s">
        <v>11</v>
      </c>
      <c r="B19" s="216">
        <f t="shared" ref="B19:B24" si="4">J7</f>
        <v>1071206.5131078847</v>
      </c>
      <c r="C19" s="193">
        <f>SUMIF('FA CA'!$C$141:$C$148,FAS!A19,'FA CA'!$F$141:$F$148)</f>
        <v>3475349</v>
      </c>
      <c r="D19" s="217">
        <f>0</f>
        <v>0</v>
      </c>
      <c r="E19" s="218">
        <f t="shared" ref="E19:E24" si="5">B19+C19-D19</f>
        <v>4546555.5131078847</v>
      </c>
      <c r="F19" s="193">
        <f t="shared" ref="F19:F24" si="6">B19*K19%</f>
        <v>193927.23423443106</v>
      </c>
      <c r="G19" s="193">
        <f>SUMIF('FA CA'!$C$141:$C$148,FAS!A19,'FA CA'!$L$141:$L$148)</f>
        <v>246494.47863093062</v>
      </c>
      <c r="H19" s="217">
        <f>0</f>
        <v>0</v>
      </c>
      <c r="I19" s="218">
        <f t="shared" ref="I19:I24" si="7">F19+G19-H19</f>
        <v>440421.71286536171</v>
      </c>
      <c r="J19" s="218">
        <f t="shared" ref="J19:J24" si="8">E19-I19</f>
        <v>4106133.8002425227</v>
      </c>
      <c r="K19" s="239">
        <v>18.103627252208465</v>
      </c>
    </row>
    <row r="20" spans="1:11" x14ac:dyDescent="0.15">
      <c r="A20" s="215" t="s">
        <v>12</v>
      </c>
      <c r="B20" s="216">
        <f t="shared" si="4"/>
        <v>1265130.6418467811</v>
      </c>
      <c r="C20" s="193">
        <f>SUMIF('FA CA'!$C$141:$C$148,FAS!A20,'FA CA'!$F$141:$F$148)</f>
        <v>47643</v>
      </c>
      <c r="D20" s="217">
        <f>0</f>
        <v>0</v>
      </c>
      <c r="E20" s="218">
        <f t="shared" si="5"/>
        <v>1312773.6418467811</v>
      </c>
      <c r="F20" s="193">
        <f t="shared" si="6"/>
        <v>327498.74055334786</v>
      </c>
      <c r="G20" s="193">
        <f>SUMIF('FA CA'!$C$141:$C$148,FAS!A20,'FA CA'!$L$141:$L$148)</f>
        <v>3649.2553305461656</v>
      </c>
      <c r="H20" s="217">
        <f>0</f>
        <v>0</v>
      </c>
      <c r="I20" s="218">
        <f t="shared" si="7"/>
        <v>331147.99588389404</v>
      </c>
      <c r="J20" s="218">
        <f t="shared" si="8"/>
        <v>981625.64596288709</v>
      </c>
      <c r="K20" s="239">
        <v>25.886555089305229</v>
      </c>
    </row>
    <row r="21" spans="1:11" x14ac:dyDescent="0.15">
      <c r="A21" s="215" t="s">
        <v>13</v>
      </c>
      <c r="B21" s="216">
        <f t="shared" si="4"/>
        <v>2815169.7319980077</v>
      </c>
      <c r="C21" s="193">
        <f>SUMIF('FA CA'!$C$141:$C$148,FAS!A21,'FA CA'!$F$141:$F$148)</f>
        <v>234758</v>
      </c>
      <c r="D21" s="217">
        <f>0</f>
        <v>0</v>
      </c>
      <c r="E21" s="218">
        <f t="shared" si="5"/>
        <v>3049927.7319980077</v>
      </c>
      <c r="F21" s="193">
        <f t="shared" si="6"/>
        <v>728750.46353111067</v>
      </c>
      <c r="G21" s="193">
        <f>SUMIF('FA CA'!$C$141:$C$148,FAS!A21,'FA CA'!$L$141:$L$148)</f>
        <v>12154.151799310233</v>
      </c>
      <c r="H21" s="217">
        <f>0</f>
        <v>0</v>
      </c>
      <c r="I21" s="218">
        <f t="shared" si="7"/>
        <v>740904.6153304209</v>
      </c>
      <c r="J21" s="218">
        <f t="shared" si="8"/>
        <v>2309023.1166675868</v>
      </c>
      <c r="K21" s="239">
        <v>25.886555089305229</v>
      </c>
    </row>
    <row r="22" spans="1:11" x14ac:dyDescent="0.15">
      <c r="A22" s="215" t="s">
        <v>14</v>
      </c>
      <c r="B22" s="216">
        <f t="shared" si="4"/>
        <v>1245453.3357870528</v>
      </c>
      <c r="C22" s="193">
        <f>SUMIF('FA CA'!$C$141:$C$148,FAS!A22,'FA CA'!$F$141:$F$148)</f>
        <v>8674385</v>
      </c>
      <c r="D22" s="217">
        <f>0</f>
        <v>0</v>
      </c>
      <c r="E22" s="218">
        <f t="shared" si="5"/>
        <v>9919838.3357870523</v>
      </c>
      <c r="F22" s="193">
        <f t="shared" si="6"/>
        <v>561350.38917473203</v>
      </c>
      <c r="G22" s="193">
        <f>SUMIF('FA CA'!$C$141:$C$148,FAS!A22,'FA CA'!$L$141:$L$148)</f>
        <v>407038.97295758256</v>
      </c>
      <c r="H22" s="217">
        <f>0</f>
        <v>0</v>
      </c>
      <c r="I22" s="218">
        <f t="shared" si="7"/>
        <v>968389.36213231459</v>
      </c>
      <c r="J22" s="218">
        <f t="shared" si="8"/>
        <v>8951448.9736547377</v>
      </c>
      <c r="K22" s="239">
        <v>45.071972834694108</v>
      </c>
    </row>
    <row r="23" spans="1:11" ht="21" x14ac:dyDescent="0.15">
      <c r="A23" s="225" t="s">
        <v>15</v>
      </c>
      <c r="B23" s="216">
        <f t="shared" si="4"/>
        <v>1548306.7475917838</v>
      </c>
      <c r="C23" s="193">
        <f>SUMIF('FA CA'!$C$141:$C$148,FAS!A23,'FA CA'!$F$141:$F$148)</f>
        <v>45673</v>
      </c>
      <c r="D23" s="217">
        <f>0</f>
        <v>0</v>
      </c>
      <c r="E23" s="218">
        <f t="shared" si="5"/>
        <v>1593979.7475917838</v>
      </c>
      <c r="F23" s="193">
        <f t="shared" si="6"/>
        <v>608543.02979660407</v>
      </c>
      <c r="G23" s="193">
        <f>SUMIF('FA CA'!$C$141:$C$148,FAS!A23,'FA CA'!$L$141:$L$148)</f>
        <v>147.54422484989391</v>
      </c>
      <c r="H23" s="217">
        <f>0</f>
        <v>0</v>
      </c>
      <c r="I23" s="218">
        <f t="shared" si="7"/>
        <v>608690.57402145397</v>
      </c>
      <c r="J23" s="218">
        <f t="shared" si="8"/>
        <v>985289.17357032979</v>
      </c>
      <c r="K23" s="239">
        <v>39.303776899708275</v>
      </c>
    </row>
    <row r="24" spans="1:11" ht="11.25" thickBot="1" x14ac:dyDescent="0.2">
      <c r="A24" s="221" t="s">
        <v>16</v>
      </c>
      <c r="B24" s="220">
        <f t="shared" si="4"/>
        <v>3879619.6830511549</v>
      </c>
      <c r="C24" s="198">
        <f>SUMIF('FA CA'!$C$141:$C$148,FAS!A24,'FA CA'!$F$141:$F$148)</f>
        <v>5435968</v>
      </c>
      <c r="D24" s="226">
        <f>0</f>
        <v>0</v>
      </c>
      <c r="E24" s="227">
        <f t="shared" si="5"/>
        <v>9315587.683051154</v>
      </c>
      <c r="F24" s="198">
        <f t="shared" si="6"/>
        <v>1004299.8865085662</v>
      </c>
      <c r="G24" s="198">
        <f>SUMIF('FA CA'!$C$141:$C$148,FAS!A24,'FA CA'!$L$141:$L$148)</f>
        <v>0</v>
      </c>
      <c r="H24" s="226">
        <f>0</f>
        <v>0</v>
      </c>
      <c r="I24" s="227">
        <f t="shared" si="7"/>
        <v>1004299.8865085662</v>
      </c>
      <c r="J24" s="227">
        <f t="shared" si="8"/>
        <v>8311287.7965425877</v>
      </c>
      <c r="K24" s="239">
        <v>25.886555089305229</v>
      </c>
    </row>
    <row r="25" spans="1:11" ht="11.25" thickBot="1" x14ac:dyDescent="0.2">
      <c r="A25" s="203"/>
      <c r="B25" s="222">
        <f t="shared" ref="B25" si="9">SUM(B18:B24)</f>
        <v>12973164.647958983</v>
      </c>
      <c r="C25" s="222">
        <f t="shared" ref="C25" si="10">SUM(C18:C24)</f>
        <v>18359276</v>
      </c>
      <c r="D25" s="222">
        <f t="shared" ref="D25" si="11">SUM(D18:D24)</f>
        <v>0</v>
      </c>
      <c r="E25" s="222">
        <f t="shared" ref="E25" si="12">SUM(E18:E24)</f>
        <v>31332440.647958983</v>
      </c>
      <c r="F25" s="222">
        <f t="shared" ref="F25" si="13">SUM(F18:F24)</f>
        <v>3480294.227424535</v>
      </c>
      <c r="G25" s="222">
        <f t="shared" ref="G25" si="14">SUM(G18:G24)</f>
        <v>680065.47779959603</v>
      </c>
      <c r="H25" s="222">
        <f t="shared" ref="H25" si="15">SUM(H18:H24)</f>
        <v>0</v>
      </c>
      <c r="I25" s="222">
        <f t="shared" ref="I25" si="16">SUM(I18:I24)</f>
        <v>4160359.7052241312</v>
      </c>
      <c r="J25" s="222">
        <f t="shared" ref="J25" si="17">SUM(J18:J24)</f>
        <v>27172080.942734852</v>
      </c>
    </row>
    <row r="26" spans="1:11" x14ac:dyDescent="0.15">
      <c r="C26" s="20">
        <f>'FA CA'!F148-FAS!C25</f>
        <v>0</v>
      </c>
    </row>
    <row r="27" spans="1:11" ht="11.25" thickBot="1" x14ac:dyDescent="0.2"/>
    <row r="28" spans="1:11" ht="11.25" thickBot="1" x14ac:dyDescent="0.2">
      <c r="A28" s="33" t="s">
        <v>38</v>
      </c>
      <c r="B28" s="34" t="s">
        <v>22</v>
      </c>
      <c r="C28" s="35" t="s">
        <v>20</v>
      </c>
      <c r="D28" s="35" t="s">
        <v>23</v>
      </c>
      <c r="E28" s="50"/>
      <c r="F28" s="289" t="s">
        <v>21</v>
      </c>
      <c r="G28" s="290"/>
      <c r="H28" s="291"/>
      <c r="I28" s="35"/>
      <c r="J28" s="35" t="s">
        <v>7</v>
      </c>
    </row>
    <row r="29" spans="1:11" ht="11.25" thickBot="1" x14ac:dyDescent="0.2">
      <c r="A29" s="38"/>
      <c r="B29" s="39" t="s">
        <v>130</v>
      </c>
      <c r="C29" s="40"/>
      <c r="D29" s="40"/>
      <c r="E29" s="40"/>
      <c r="F29" s="40" t="str">
        <f>B29</f>
        <v>01.04.2019</v>
      </c>
      <c r="G29" s="40" t="s">
        <v>20</v>
      </c>
      <c r="H29" s="40" t="s">
        <v>23</v>
      </c>
      <c r="I29" s="40" t="s">
        <v>24</v>
      </c>
      <c r="J29" s="40" t="s">
        <v>131</v>
      </c>
    </row>
    <row r="30" spans="1:11" x14ac:dyDescent="0.15">
      <c r="A30" s="21" t="s">
        <v>10</v>
      </c>
      <c r="B30" s="25">
        <f>J18</f>
        <v>1527272.4360941988</v>
      </c>
      <c r="C30" s="25">
        <f>SUMIF('FA CA'!$C$151:$C$158,FAS!A30,'FA CA'!$F$151:$F$158)</f>
        <v>34534</v>
      </c>
      <c r="D30" s="26">
        <f>0</f>
        <v>0</v>
      </c>
      <c r="E30" s="28">
        <f>B30+C30-D30</f>
        <v>1561806.4360941988</v>
      </c>
      <c r="F30" s="25">
        <f t="shared" ref="F30:F36" si="18">B30*K30%</f>
        <v>74382.617055997121</v>
      </c>
      <c r="G30" s="25">
        <f>SUMIF('FA CA'!$C$151:$C$158,FAS!A30,'FA CA'!$L$151:$L$158)</f>
        <v>1529.8436370939744</v>
      </c>
      <c r="H30" s="26">
        <f>0</f>
        <v>0</v>
      </c>
      <c r="I30" s="28">
        <f>F30+G30-H30</f>
        <v>75912.460693091096</v>
      </c>
      <c r="J30" s="28">
        <f>E30-I30</f>
        <v>1485893.9754011077</v>
      </c>
      <c r="K30" s="239">
        <v>4.8702913310097458</v>
      </c>
    </row>
    <row r="31" spans="1:11" x14ac:dyDescent="0.15">
      <c r="A31" s="22" t="s">
        <v>11</v>
      </c>
      <c r="B31" s="31">
        <f t="shared" ref="B31:B36" si="19">J19</f>
        <v>4106133.8002425227</v>
      </c>
      <c r="C31" s="10">
        <f>SUMIF('FA CA'!$C$151:$C$158,FAS!A31,'FA CA'!$F$151:$F$158)</f>
        <v>9584</v>
      </c>
      <c r="D31" s="27">
        <f>0</f>
        <v>0</v>
      </c>
      <c r="E31" s="29">
        <f t="shared" ref="E31:E36" si="20">B31+C31-D31</f>
        <v>4115717.8002425227</v>
      </c>
      <c r="F31" s="10">
        <f t="shared" si="18"/>
        <v>743359.15767284844</v>
      </c>
      <c r="G31" s="10">
        <f>SUMIF('FA CA'!$C$151:$C$158,FAS!A31,'FA CA'!$L$151:$L$158)</f>
        <v>1411.8091393094323</v>
      </c>
      <c r="H31" s="27">
        <f>0</f>
        <v>0</v>
      </c>
      <c r="I31" s="29">
        <f t="shared" ref="I31:I36" si="21">F31+G31-H31</f>
        <v>744770.96681215789</v>
      </c>
      <c r="J31" s="29">
        <f t="shared" ref="J31:J36" si="22">E31-I31</f>
        <v>3370946.8334303647</v>
      </c>
      <c r="K31" s="239">
        <v>18.103627252208465</v>
      </c>
    </row>
    <row r="32" spans="1:11" x14ac:dyDescent="0.15">
      <c r="A32" s="22" t="s">
        <v>12</v>
      </c>
      <c r="B32" s="31">
        <f t="shared" si="19"/>
        <v>981625.64596288709</v>
      </c>
      <c r="C32" s="10">
        <f>SUMIF('FA CA'!$C$151:$C$158,FAS!A32,'FA CA'!$F$151:$F$158)</f>
        <v>345234</v>
      </c>
      <c r="D32" s="27">
        <f>0</f>
        <v>0</v>
      </c>
      <c r="E32" s="29">
        <f t="shared" si="20"/>
        <v>1326859.645962887</v>
      </c>
      <c r="F32" s="10">
        <f t="shared" si="18"/>
        <v>254109.06361293109</v>
      </c>
      <c r="G32" s="10">
        <f>SUMIF('FA CA'!$C$151:$C$158,FAS!A32,'FA CA'!$L$151:$L$158)</f>
        <v>64149.938834019587</v>
      </c>
      <c r="H32" s="27">
        <f>0</f>
        <v>0</v>
      </c>
      <c r="I32" s="29">
        <f t="shared" si="21"/>
        <v>318259.00244695065</v>
      </c>
      <c r="J32" s="29">
        <f t="shared" si="22"/>
        <v>1008600.6435159363</v>
      </c>
      <c r="K32" s="239">
        <v>25.886555089305229</v>
      </c>
    </row>
    <row r="33" spans="1:11" x14ac:dyDescent="0.15">
      <c r="A33" s="22" t="s">
        <v>13</v>
      </c>
      <c r="B33" s="31">
        <f t="shared" si="19"/>
        <v>2309023.1166675868</v>
      </c>
      <c r="C33" s="10">
        <f>SUMIF('FA CA'!$C$151:$C$158,FAS!A33,'FA CA'!$F$151:$F$158)</f>
        <v>895533</v>
      </c>
      <c r="D33" s="27">
        <f>0</f>
        <v>0</v>
      </c>
      <c r="E33" s="29">
        <f t="shared" si="20"/>
        <v>3204556.1166675868</v>
      </c>
      <c r="F33" s="10">
        <f t="shared" si="18"/>
        <v>597726.54112094746</v>
      </c>
      <c r="G33" s="10">
        <f>SUMIF('FA CA'!$C$151:$C$158,FAS!A33,'FA CA'!$L$151:$L$158)</f>
        <v>144174.63027138376</v>
      </c>
      <c r="H33" s="27">
        <f>0</f>
        <v>0</v>
      </c>
      <c r="I33" s="29">
        <f t="shared" si="21"/>
        <v>741901.17139233125</v>
      </c>
      <c r="J33" s="29">
        <f t="shared" si="22"/>
        <v>2462654.9452752555</v>
      </c>
      <c r="K33" s="239">
        <v>25.886555089305229</v>
      </c>
    </row>
    <row r="34" spans="1:11" x14ac:dyDescent="0.15">
      <c r="A34" s="22" t="s">
        <v>14</v>
      </c>
      <c r="B34" s="31">
        <f t="shared" si="19"/>
        <v>8951448.9736547377</v>
      </c>
      <c r="C34" s="10">
        <f>SUMIF('FA CA'!$C$151:$C$158,FAS!A34,'FA CA'!$F$151:$F$158)</f>
        <v>89657</v>
      </c>
      <c r="D34" s="27">
        <f>0</f>
        <v>0</v>
      </c>
      <c r="E34" s="29">
        <f t="shared" si="20"/>
        <v>9041105.9736547377</v>
      </c>
      <c r="F34" s="10">
        <f t="shared" si="18"/>
        <v>4034594.649717168</v>
      </c>
      <c r="G34" s="10">
        <f>SUMIF('FA CA'!$C$151:$C$158,FAS!A34,'FA CA'!$L$151:$L$158)</f>
        <v>21256.861116178425</v>
      </c>
      <c r="H34" s="27">
        <f>0</f>
        <v>0</v>
      </c>
      <c r="I34" s="29">
        <f t="shared" si="21"/>
        <v>4055851.5108333463</v>
      </c>
      <c r="J34" s="29">
        <f t="shared" si="22"/>
        <v>4985254.4628213914</v>
      </c>
      <c r="K34" s="239">
        <v>45.071972834694108</v>
      </c>
    </row>
    <row r="35" spans="1:11" ht="21" x14ac:dyDescent="0.15">
      <c r="A35" s="183" t="s">
        <v>15</v>
      </c>
      <c r="B35" s="31">
        <f t="shared" si="19"/>
        <v>985289.17357032979</v>
      </c>
      <c r="C35" s="10">
        <f>SUMIF('FA CA'!$C$151:$C$158,FAS!A35,'FA CA'!$F$151:$F$158)</f>
        <v>462313</v>
      </c>
      <c r="D35" s="27">
        <f>0</f>
        <v>0</v>
      </c>
      <c r="E35" s="29">
        <f t="shared" si="20"/>
        <v>1447602.1735703298</v>
      </c>
      <c r="F35" s="10">
        <f t="shared" si="18"/>
        <v>387255.85859706189</v>
      </c>
      <c r="G35" s="10">
        <f>SUMIF('FA CA'!$C$151:$C$158,FAS!A35,'FA CA'!$L$151:$L$158)</f>
        <v>78158.673439563529</v>
      </c>
      <c r="H35" s="27">
        <f>0</f>
        <v>0</v>
      </c>
      <c r="I35" s="29">
        <f t="shared" si="21"/>
        <v>465414.53203662543</v>
      </c>
      <c r="J35" s="29">
        <f t="shared" si="22"/>
        <v>982187.64153370436</v>
      </c>
      <c r="K35" s="239">
        <v>39.303776899708275</v>
      </c>
    </row>
    <row r="36" spans="1:11" ht="11.25" thickBot="1" x14ac:dyDescent="0.2">
      <c r="A36" s="24" t="s">
        <v>16</v>
      </c>
      <c r="B36" s="49">
        <f t="shared" si="19"/>
        <v>8311287.7965425877</v>
      </c>
      <c r="C36" s="14">
        <f>SUMIF('FA CA'!$C$151:$C$158,FAS!A36,'FA CA'!$F$151:$F$158)</f>
        <v>59697</v>
      </c>
      <c r="D36" s="47">
        <f>0</f>
        <v>0</v>
      </c>
      <c r="E36" s="30">
        <f t="shared" si="20"/>
        <v>8370984.7965425877</v>
      </c>
      <c r="F36" s="14">
        <f t="shared" si="18"/>
        <v>2151506.0940826996</v>
      </c>
      <c r="G36" s="14">
        <f>SUMIF('FA CA'!$C$151:$C$158,FAS!A36,'FA CA'!$L$151:$L$158)</f>
        <v>0</v>
      </c>
      <c r="H36" s="47">
        <f>0</f>
        <v>0</v>
      </c>
      <c r="I36" s="30">
        <f t="shared" si="21"/>
        <v>2151506.0940826996</v>
      </c>
      <c r="J36" s="30">
        <f t="shared" si="22"/>
        <v>6219478.7024598885</v>
      </c>
      <c r="K36" s="239">
        <v>25.886555089305229</v>
      </c>
    </row>
    <row r="37" spans="1:11" ht="11.25" thickBot="1" x14ac:dyDescent="0.2">
      <c r="B37" s="48">
        <f t="shared" ref="B37" si="23">SUM(B30:B36)</f>
        <v>27172080.942734852</v>
      </c>
      <c r="C37" s="48">
        <f t="shared" ref="C37" si="24">SUM(C30:C36)</f>
        <v>1896552</v>
      </c>
      <c r="D37" s="48">
        <f t="shared" ref="D37" si="25">SUM(D30:D36)</f>
        <v>0</v>
      </c>
      <c r="E37" s="48">
        <f t="shared" ref="E37" si="26">SUM(E30:E36)</f>
        <v>29068632.942734852</v>
      </c>
      <c r="F37" s="48">
        <f t="shared" ref="F37" si="27">SUM(F30:F36)</f>
        <v>8242933.9818596523</v>
      </c>
      <c r="G37" s="48">
        <f t="shared" ref="G37" si="28">SUM(G30:G36)</f>
        <v>310681.75643754873</v>
      </c>
      <c r="H37" s="48">
        <f t="shared" ref="H37" si="29">SUM(H30:H36)</f>
        <v>0</v>
      </c>
      <c r="I37" s="48">
        <f t="shared" ref="I37" si="30">SUM(I30:I36)</f>
        <v>8553615.7382972017</v>
      </c>
      <c r="J37" s="48">
        <f t="shared" ref="J37" si="31">SUM(J30:J36)</f>
        <v>20515017.204437647</v>
      </c>
    </row>
    <row r="38" spans="1:11" x14ac:dyDescent="0.15">
      <c r="C38" s="20">
        <f>'FA CA'!F158-FAS!C37</f>
        <v>0</v>
      </c>
    </row>
    <row r="39" spans="1:11" ht="11.25" thickBot="1" x14ac:dyDescent="0.2"/>
    <row r="40" spans="1:11" ht="11.25" thickBot="1" x14ac:dyDescent="0.2">
      <c r="A40" s="204" t="s">
        <v>38</v>
      </c>
      <c r="B40" s="205" t="s">
        <v>22</v>
      </c>
      <c r="C40" s="206" t="s">
        <v>20</v>
      </c>
      <c r="D40" s="206" t="s">
        <v>23</v>
      </c>
      <c r="E40" s="224"/>
      <c r="F40" s="292" t="s">
        <v>21</v>
      </c>
      <c r="G40" s="293"/>
      <c r="H40" s="294"/>
      <c r="I40" s="206"/>
      <c r="J40" s="206" t="s">
        <v>7</v>
      </c>
    </row>
    <row r="41" spans="1:11" ht="11.25" thickBot="1" x14ac:dyDescent="0.2">
      <c r="A41" s="207"/>
      <c r="B41" s="208" t="s">
        <v>132</v>
      </c>
      <c r="C41" s="209"/>
      <c r="D41" s="209"/>
      <c r="E41" s="209"/>
      <c r="F41" s="209" t="str">
        <f>B41</f>
        <v>01.04.2020</v>
      </c>
      <c r="G41" s="209" t="s">
        <v>20</v>
      </c>
      <c r="H41" s="209" t="s">
        <v>23</v>
      </c>
      <c r="I41" s="209" t="s">
        <v>24</v>
      </c>
      <c r="J41" s="209" t="s">
        <v>133</v>
      </c>
    </row>
    <row r="42" spans="1:11" x14ac:dyDescent="0.15">
      <c r="A42" s="211" t="s">
        <v>10</v>
      </c>
      <c r="B42" s="189">
        <f>J30</f>
        <v>1485893.9754011077</v>
      </c>
      <c r="C42" s="189">
        <f>SUMIF('FA CA'!$C$160:$C$167,FAS!A42,'FA CA'!$F$160:$F$167)</f>
        <v>8794</v>
      </c>
      <c r="D42" s="212">
        <f>0</f>
        <v>0</v>
      </c>
      <c r="E42" s="213">
        <f>B42+C42-D42</f>
        <v>1494687.9754011077</v>
      </c>
      <c r="F42" s="189">
        <f t="shared" ref="F42:F48" si="32">B42*K42%</f>
        <v>72367.365471956233</v>
      </c>
      <c r="G42" s="189">
        <f>SUMIF('FA CA'!$C$160:$C$167,FAS!A42,'FA CA'!$L$160:$L$167)</f>
        <v>240.54835898094353</v>
      </c>
      <c r="H42" s="212">
        <f>0</f>
        <v>0</v>
      </c>
      <c r="I42" s="213">
        <f>F42+G42-H42</f>
        <v>72607.913830937177</v>
      </c>
      <c r="J42" s="213">
        <f>E42-I42</f>
        <v>1422080.0615701706</v>
      </c>
      <c r="K42" s="239">
        <v>4.8702913310097458</v>
      </c>
    </row>
    <row r="43" spans="1:11" x14ac:dyDescent="0.15">
      <c r="A43" s="215" t="s">
        <v>11</v>
      </c>
      <c r="B43" s="216">
        <f t="shared" ref="B43:B48" si="33">J31</f>
        <v>3370946.8334303647</v>
      </c>
      <c r="C43" s="193">
        <f>SUMIF('FA CA'!$C$160:$C$167,FAS!A43,'FA CA'!$F$160:$F$167)</f>
        <v>9584</v>
      </c>
      <c r="D43" s="217">
        <f>0</f>
        <v>0</v>
      </c>
      <c r="E43" s="218">
        <f t="shared" ref="E43:E48" si="34">B43+C43-D43</f>
        <v>3380530.8334303647</v>
      </c>
      <c r="F43" s="193">
        <f t="shared" si="32"/>
        <v>610263.64959435782</v>
      </c>
      <c r="G43" s="193">
        <f>SUMIF('FA CA'!$C$160:$C$167,FAS!A43,'FA CA'!$L$160:$L$167)</f>
        <v>808.10624135556736</v>
      </c>
      <c r="H43" s="217">
        <f>0</f>
        <v>0</v>
      </c>
      <c r="I43" s="218">
        <f t="shared" ref="I43:I48" si="35">F43+G43-H43</f>
        <v>611071.75583571335</v>
      </c>
      <c r="J43" s="218">
        <f t="shared" ref="J43:J48" si="36">E43-I43</f>
        <v>2769459.0775946514</v>
      </c>
      <c r="K43" s="239">
        <v>18.103627252208465</v>
      </c>
    </row>
    <row r="44" spans="1:11" x14ac:dyDescent="0.15">
      <c r="A44" s="215" t="s">
        <v>12</v>
      </c>
      <c r="B44" s="216">
        <f t="shared" si="33"/>
        <v>1008600.6435159363</v>
      </c>
      <c r="C44" s="193">
        <f>SUMIF('FA CA'!$C$160:$C$167,FAS!A44,'FA CA'!$F$160:$F$167)</f>
        <v>486438</v>
      </c>
      <c r="D44" s="217">
        <f>0</f>
        <v>0</v>
      </c>
      <c r="E44" s="218">
        <f t="shared" si="34"/>
        <v>1495038.6435159363</v>
      </c>
      <c r="F44" s="193">
        <f t="shared" si="32"/>
        <v>261091.96121483992</v>
      </c>
      <c r="G44" s="193">
        <f>SUMIF('FA CA'!$C$160:$C$167,FAS!A44,'FA CA'!$L$160:$L$167)</f>
        <v>46573.90551813005</v>
      </c>
      <c r="H44" s="217">
        <f>0</f>
        <v>0</v>
      </c>
      <c r="I44" s="218">
        <f t="shared" si="35"/>
        <v>307665.86673297</v>
      </c>
      <c r="J44" s="218">
        <f t="shared" si="36"/>
        <v>1187372.7767829662</v>
      </c>
      <c r="K44" s="239">
        <v>25.886555089305229</v>
      </c>
    </row>
    <row r="45" spans="1:11" x14ac:dyDescent="0.15">
      <c r="A45" s="215" t="s">
        <v>13</v>
      </c>
      <c r="B45" s="216">
        <f t="shared" si="33"/>
        <v>2462654.9452752555</v>
      </c>
      <c r="C45" s="193">
        <f>SUMIF('FA CA'!$C$160:$C$167,FAS!A45,'FA CA'!$F$160:$F$167)</f>
        <v>895533</v>
      </c>
      <c r="D45" s="217">
        <f>0</f>
        <v>0</v>
      </c>
      <c r="E45" s="218">
        <f t="shared" si="34"/>
        <v>3358187.9452752555</v>
      </c>
      <c r="F45" s="193">
        <f t="shared" si="32"/>
        <v>637496.52906817861</v>
      </c>
      <c r="G45" s="193">
        <f>SUMIF('FA CA'!$C$160:$C$167,FAS!A45,'FA CA'!$L$160:$L$167)</f>
        <v>63513.052982988433</v>
      </c>
      <c r="H45" s="217">
        <f>0</f>
        <v>0</v>
      </c>
      <c r="I45" s="218">
        <f t="shared" si="35"/>
        <v>701009.58205116703</v>
      </c>
      <c r="J45" s="218">
        <f t="shared" si="36"/>
        <v>2657178.3632240882</v>
      </c>
      <c r="K45" s="239">
        <v>25.886555089305229</v>
      </c>
    </row>
    <row r="46" spans="1:11" x14ac:dyDescent="0.15">
      <c r="A46" s="215" t="s">
        <v>14</v>
      </c>
      <c r="B46" s="216">
        <f t="shared" si="33"/>
        <v>4985254.4628213914</v>
      </c>
      <c r="C46" s="193">
        <f>SUMIF('FA CA'!$C$160:$C$167,FAS!A46,'FA CA'!$F$160:$F$167)</f>
        <v>89657</v>
      </c>
      <c r="D46" s="217">
        <f>0</f>
        <v>0</v>
      </c>
      <c r="E46" s="218">
        <f t="shared" si="34"/>
        <v>5074911.4628213914</v>
      </c>
      <c r="F46" s="193">
        <f t="shared" si="32"/>
        <v>2246952.5372232334</v>
      </c>
      <c r="G46" s="193">
        <f>SUMIF('FA CA'!$C$160:$C$167,FAS!A46,'FA CA'!$L$160:$L$167)</f>
        <v>7196.3331903729049</v>
      </c>
      <c r="H46" s="217">
        <f>0</f>
        <v>0</v>
      </c>
      <c r="I46" s="218">
        <f t="shared" si="35"/>
        <v>2254148.8704136061</v>
      </c>
      <c r="J46" s="218">
        <f t="shared" si="36"/>
        <v>2820762.5924077854</v>
      </c>
      <c r="K46" s="239">
        <v>45.071972834694108</v>
      </c>
    </row>
    <row r="47" spans="1:11" ht="21" x14ac:dyDescent="0.15">
      <c r="A47" s="225" t="s">
        <v>15</v>
      </c>
      <c r="B47" s="216">
        <f t="shared" si="33"/>
        <v>982187.64153370436</v>
      </c>
      <c r="C47" s="193">
        <f>SUMIF('FA CA'!$C$160:$C$167,FAS!A47,'FA CA'!$F$160:$F$167)</f>
        <v>48563</v>
      </c>
      <c r="D47" s="217">
        <f>0</f>
        <v>0</v>
      </c>
      <c r="E47" s="218">
        <f t="shared" si="34"/>
        <v>1030750.6415337044</v>
      </c>
      <c r="F47" s="193">
        <f t="shared" si="32"/>
        <v>386036.83936491364</v>
      </c>
      <c r="G47" s="193">
        <f>SUMIF('FA CA'!$C$160:$C$167,FAS!A47,'FA CA'!$L$160:$L$167)</f>
        <v>1568.8021788333147</v>
      </c>
      <c r="H47" s="217">
        <f>0</f>
        <v>0</v>
      </c>
      <c r="I47" s="218">
        <f t="shared" si="35"/>
        <v>387605.64154374698</v>
      </c>
      <c r="J47" s="218">
        <f t="shared" si="36"/>
        <v>643144.99998995732</v>
      </c>
      <c r="K47" s="239">
        <v>39.303776899708275</v>
      </c>
    </row>
    <row r="48" spans="1:11" ht="11.25" thickBot="1" x14ac:dyDescent="0.2">
      <c r="A48" s="221" t="s">
        <v>16</v>
      </c>
      <c r="B48" s="220">
        <f t="shared" si="33"/>
        <v>6219478.7024598885</v>
      </c>
      <c r="C48" s="198">
        <f>SUMIF('FA CA'!$C$160:$C$167,FAS!A48,'FA CA'!$F$160:$F$167)</f>
        <v>59697</v>
      </c>
      <c r="D48" s="226">
        <f>0</f>
        <v>0</v>
      </c>
      <c r="E48" s="227">
        <f t="shared" si="34"/>
        <v>6279175.7024598885</v>
      </c>
      <c r="F48" s="198">
        <f t="shared" si="32"/>
        <v>1610008.7805798852</v>
      </c>
      <c r="G48" s="198">
        <f>SUMIF('FA CA'!$C$160:$C$167,FAS!A48,'FA CA'!$L$160:$L$167)</f>
        <v>3664.1123689360943</v>
      </c>
      <c r="H48" s="226">
        <f>0</f>
        <v>0</v>
      </c>
      <c r="I48" s="227">
        <f t="shared" si="35"/>
        <v>1613672.8929488214</v>
      </c>
      <c r="J48" s="227">
        <f t="shared" si="36"/>
        <v>4665502.8095110673</v>
      </c>
      <c r="K48" s="239">
        <v>25.886555089305229</v>
      </c>
    </row>
    <row r="49" spans="1:11" ht="11.25" thickBot="1" x14ac:dyDescent="0.2">
      <c r="A49" s="203"/>
      <c r="B49" s="222">
        <f t="shared" ref="B49" si="37">SUM(B42:B48)</f>
        <v>20515017.204437647</v>
      </c>
      <c r="C49" s="222">
        <f t="shared" ref="C49" si="38">SUM(C42:C48)</f>
        <v>1598266</v>
      </c>
      <c r="D49" s="222">
        <f t="shared" ref="D49" si="39">SUM(D42:D48)</f>
        <v>0</v>
      </c>
      <c r="E49" s="222">
        <f t="shared" ref="E49" si="40">SUM(E42:E48)</f>
        <v>22113283.204437647</v>
      </c>
      <c r="F49" s="222">
        <f t="shared" ref="F49" si="41">SUM(F42:F48)</f>
        <v>5824217.6625173651</v>
      </c>
      <c r="G49" s="222">
        <f t="shared" ref="G49" si="42">SUM(G42:G48)</f>
        <v>123564.8608395973</v>
      </c>
      <c r="H49" s="222">
        <f t="shared" ref="H49" si="43">SUM(H42:H48)</f>
        <v>0</v>
      </c>
      <c r="I49" s="222">
        <f t="shared" ref="I49" si="44">SUM(I42:I48)</f>
        <v>5947782.523356962</v>
      </c>
      <c r="J49" s="222">
        <f t="shared" ref="J49" si="45">SUM(J42:J48)</f>
        <v>16165500.681080686</v>
      </c>
    </row>
    <row r="50" spans="1:11" x14ac:dyDescent="0.15">
      <c r="C50" s="20">
        <f>'FA CA'!F167-FAS!C49</f>
        <v>0</v>
      </c>
    </row>
    <row r="51" spans="1:11" ht="11.25" thickBot="1" x14ac:dyDescent="0.2"/>
    <row r="52" spans="1:11" ht="11.25" thickBot="1" x14ac:dyDescent="0.2">
      <c r="A52" s="33" t="s">
        <v>38</v>
      </c>
      <c r="B52" s="34" t="s">
        <v>22</v>
      </c>
      <c r="C52" s="35" t="s">
        <v>20</v>
      </c>
      <c r="D52" s="35" t="s">
        <v>23</v>
      </c>
      <c r="E52" s="50"/>
      <c r="F52" s="289" t="s">
        <v>21</v>
      </c>
      <c r="G52" s="290"/>
      <c r="H52" s="291"/>
      <c r="I52" s="35"/>
      <c r="J52" s="35" t="s">
        <v>7</v>
      </c>
    </row>
    <row r="53" spans="1:11" ht="11.25" thickBot="1" x14ac:dyDescent="0.2">
      <c r="A53" s="38"/>
      <c r="B53" s="39" t="s">
        <v>134</v>
      </c>
      <c r="C53" s="40"/>
      <c r="D53" s="40"/>
      <c r="E53" s="40"/>
      <c r="F53" s="40" t="str">
        <f>B53</f>
        <v>01.04.2021</v>
      </c>
      <c r="G53" s="40" t="s">
        <v>20</v>
      </c>
      <c r="H53" s="40" t="s">
        <v>23</v>
      </c>
      <c r="I53" s="40" t="s">
        <v>24</v>
      </c>
      <c r="J53" s="40" t="s">
        <v>135</v>
      </c>
    </row>
    <row r="54" spans="1:11" x14ac:dyDescent="0.15">
      <c r="A54" s="21" t="s">
        <v>10</v>
      </c>
      <c r="B54" s="25">
        <f>J42</f>
        <v>1422080.0615701706</v>
      </c>
      <c r="C54" s="25">
        <f>SUMIF('FA CA'!$C$168:$C$176,FAS!A54,'FA CA'!$F$168:$F$176)</f>
        <v>8794</v>
      </c>
      <c r="D54" s="26">
        <f>0</f>
        <v>0</v>
      </c>
      <c r="E54" s="28">
        <f>B54+C54-D54</f>
        <v>1430874.0615701706</v>
      </c>
      <c r="F54" s="25">
        <f t="shared" ref="F54:F60" si="46">B54*K54%</f>
        <v>69259.441958670068</v>
      </c>
      <c r="G54" s="25">
        <f>SUMIF('FA CA'!$C$168:$C$176,FAS!A54,'FA CA'!$L$168:$L$176)</f>
        <v>422.4263865031204</v>
      </c>
      <c r="H54" s="26">
        <f>0</f>
        <v>0</v>
      </c>
      <c r="I54" s="28">
        <f>F54+G54-H54</f>
        <v>69681.868345173192</v>
      </c>
      <c r="J54" s="28">
        <f>E54-I54</f>
        <v>1361192.1932249973</v>
      </c>
      <c r="K54" s="239">
        <v>4.8702913310097458</v>
      </c>
    </row>
    <row r="55" spans="1:11" x14ac:dyDescent="0.15">
      <c r="A55" s="22" t="s">
        <v>11</v>
      </c>
      <c r="B55" s="31">
        <f t="shared" ref="B55:B60" si="47">J43</f>
        <v>2769459.0775946514</v>
      </c>
      <c r="C55" s="10">
        <f>SUMIF('FA CA'!$C$168:$C$176,FAS!A55,'FA CA'!$F$168:$F$176)</f>
        <v>34523</v>
      </c>
      <c r="D55" s="27">
        <f>0</f>
        <v>0</v>
      </c>
      <c r="E55" s="29">
        <f t="shared" ref="E55:E60" si="48">B55+C55-D55</f>
        <v>2803982.0775946514</v>
      </c>
      <c r="F55" s="10">
        <f t="shared" si="46"/>
        <v>501372.54831018648</v>
      </c>
      <c r="G55" s="10">
        <f>SUMIF('FA CA'!$C$168:$C$176,FAS!A55,'FA CA'!$L$168:$L$176)</f>
        <v>5564.9930186054162</v>
      </c>
      <c r="H55" s="27">
        <f>0</f>
        <v>0</v>
      </c>
      <c r="I55" s="29">
        <f t="shared" ref="I55:I60" si="49">F55+G55-H55</f>
        <v>506937.54132879188</v>
      </c>
      <c r="J55" s="29">
        <f t="shared" ref="J55:J60" si="50">E55-I55</f>
        <v>2297044.5362658594</v>
      </c>
      <c r="K55" s="239">
        <v>18.103627252208465</v>
      </c>
    </row>
    <row r="56" spans="1:11" x14ac:dyDescent="0.15">
      <c r="A56" s="22" t="s">
        <v>12</v>
      </c>
      <c r="B56" s="31">
        <f t="shared" si="47"/>
        <v>1187372.7767829662</v>
      </c>
      <c r="C56" s="10">
        <f>SUMIF('FA CA'!$C$168:$C$176,FAS!A56,'FA CA'!$F$168:$F$176)</f>
        <v>95643</v>
      </c>
      <c r="D56" s="27">
        <f>0</f>
        <v>0</v>
      </c>
      <c r="E56" s="29">
        <f t="shared" si="48"/>
        <v>1283015.7767829662</v>
      </c>
      <c r="F56" s="10">
        <f t="shared" si="46"/>
        <v>307369.9079773358</v>
      </c>
      <c r="G56" s="10">
        <f>SUMIF('FA CA'!$C$168:$C$176,FAS!A56,'FA CA'!$L$168:$L$176)</f>
        <v>19671.278318845529</v>
      </c>
      <c r="H56" s="27">
        <f>0</f>
        <v>0</v>
      </c>
      <c r="I56" s="29">
        <f t="shared" si="49"/>
        <v>327041.18629618135</v>
      </c>
      <c r="J56" s="29">
        <f t="shared" si="50"/>
        <v>955974.59048678493</v>
      </c>
      <c r="K56" s="239">
        <v>25.886555089305229</v>
      </c>
    </row>
    <row r="57" spans="1:11" x14ac:dyDescent="0.15">
      <c r="A57" s="22" t="s">
        <v>13</v>
      </c>
      <c r="B57" s="31">
        <f t="shared" si="47"/>
        <v>2657178.3632240882</v>
      </c>
      <c r="C57" s="10">
        <f>SUMIF('FA CA'!$C$168:$C$176,FAS!A57,'FA CA'!$F$168:$F$176)</f>
        <v>45234</v>
      </c>
      <c r="D57" s="27">
        <f>0</f>
        <v>0</v>
      </c>
      <c r="E57" s="29">
        <f t="shared" si="48"/>
        <v>2702412.3632240882</v>
      </c>
      <c r="F57" s="10">
        <f t="shared" si="46"/>
        <v>687851.94081710256</v>
      </c>
      <c r="G57" s="10">
        <f>SUMIF('FA CA'!$C$168:$C$176,FAS!A57,'FA CA'!$L$168:$L$176)</f>
        <v>8180.6265860809954</v>
      </c>
      <c r="H57" s="27">
        <f>0</f>
        <v>0</v>
      </c>
      <c r="I57" s="29">
        <f t="shared" si="49"/>
        <v>696032.56740318355</v>
      </c>
      <c r="J57" s="29">
        <f t="shared" si="50"/>
        <v>2006379.7958209047</v>
      </c>
      <c r="K57" s="239">
        <v>25.886555089305229</v>
      </c>
    </row>
    <row r="58" spans="1:11" x14ac:dyDescent="0.15">
      <c r="A58" s="22" t="s">
        <v>14</v>
      </c>
      <c r="B58" s="31">
        <f t="shared" si="47"/>
        <v>2820762.5924077854</v>
      </c>
      <c r="C58" s="10">
        <f>SUMIF('FA CA'!$C$168:$C$176,FAS!A58,'FA CA'!$F$168:$F$176)</f>
        <v>356345</v>
      </c>
      <c r="D58" s="27">
        <f>0</f>
        <v>0</v>
      </c>
      <c r="E58" s="29">
        <f t="shared" si="48"/>
        <v>3177107.5924077854</v>
      </c>
      <c r="F58" s="10">
        <f t="shared" si="46"/>
        <v>1271373.3493812503</v>
      </c>
      <c r="G58" s="10">
        <f>SUMIF('FA CA'!$C$168:$C$176,FAS!A58,'FA CA'!$L$168:$L$176)</f>
        <v>96807.06507264098</v>
      </c>
      <c r="H58" s="27">
        <f>0</f>
        <v>0</v>
      </c>
      <c r="I58" s="29">
        <f t="shared" si="49"/>
        <v>1368180.4144538913</v>
      </c>
      <c r="J58" s="29">
        <f t="shared" si="50"/>
        <v>1808927.177953894</v>
      </c>
      <c r="K58" s="239">
        <v>45.071972834694108</v>
      </c>
    </row>
    <row r="59" spans="1:11" ht="21" x14ac:dyDescent="0.15">
      <c r="A59" s="183" t="s">
        <v>15</v>
      </c>
      <c r="B59" s="31">
        <f t="shared" si="47"/>
        <v>643144.99998995732</v>
      </c>
      <c r="C59" s="10">
        <f>SUMIF('FA CA'!$C$168:$C$176,FAS!A59,'FA CA'!$F$168:$F$176)</f>
        <v>456345</v>
      </c>
      <c r="D59" s="27">
        <f>0</f>
        <v>0</v>
      </c>
      <c r="E59" s="29">
        <f t="shared" si="48"/>
        <v>1099489.9999899573</v>
      </c>
      <c r="F59" s="10">
        <f t="shared" si="46"/>
        <v>252780.27593768164</v>
      </c>
      <c r="G59" s="10">
        <f>SUMIF('FA CA'!$C$168:$C$176,FAS!A59,'FA CA'!$L$168:$L$176)</f>
        <v>90908.909118356562</v>
      </c>
      <c r="H59" s="27">
        <f>0</f>
        <v>0</v>
      </c>
      <c r="I59" s="29">
        <f t="shared" si="49"/>
        <v>343689.1850560382</v>
      </c>
      <c r="J59" s="29">
        <f t="shared" si="50"/>
        <v>755800.81493391911</v>
      </c>
      <c r="K59" s="239">
        <v>39.303776899708275</v>
      </c>
    </row>
    <row r="60" spans="1:11" ht="11.25" thickBot="1" x14ac:dyDescent="0.2">
      <c r="A60" s="24" t="s">
        <v>16</v>
      </c>
      <c r="B60" s="49">
        <f t="shared" si="47"/>
        <v>4665502.8095110673</v>
      </c>
      <c r="C60" s="14">
        <f>SUMIF('FA CA'!$C$168:$C$176,FAS!A60,'FA CA'!$F$168:$F$176)</f>
        <v>34567</v>
      </c>
      <c r="D60" s="47">
        <f>0</f>
        <v>0</v>
      </c>
      <c r="E60" s="30">
        <f t="shared" si="48"/>
        <v>4700069.8095110673</v>
      </c>
      <c r="F60" s="14">
        <f t="shared" si="46"/>
        <v>1207737.9549771657</v>
      </c>
      <c r="G60" s="14">
        <f>SUMIF('FA CA'!$C$168:$C$176,FAS!A60,'FA CA'!$L$168:$L$176)</f>
        <v>1103.2034175271403</v>
      </c>
      <c r="H60" s="47">
        <f>0</f>
        <v>0</v>
      </c>
      <c r="I60" s="30">
        <f t="shared" si="49"/>
        <v>1208841.1583946929</v>
      </c>
      <c r="J60" s="30">
        <f t="shared" si="50"/>
        <v>3491228.6511163744</v>
      </c>
      <c r="K60" s="239">
        <v>25.886555089305229</v>
      </c>
    </row>
    <row r="61" spans="1:11" ht="11.25" thickBot="1" x14ac:dyDescent="0.2">
      <c r="B61" s="48">
        <f t="shared" ref="B61" si="51">SUM(B54:B60)</f>
        <v>16165500.681080686</v>
      </c>
      <c r="C61" s="48">
        <f t="shared" ref="C61" si="52">SUM(C54:C60)</f>
        <v>1031451</v>
      </c>
      <c r="D61" s="48">
        <f t="shared" ref="D61" si="53">SUM(D54:D60)</f>
        <v>0</v>
      </c>
      <c r="E61" s="48">
        <f t="shared" ref="E61" si="54">SUM(E54:E60)</f>
        <v>17196951.681080684</v>
      </c>
      <c r="F61" s="48">
        <f t="shared" ref="F61" si="55">SUM(F54:F60)</f>
        <v>4297745.4193593925</v>
      </c>
      <c r="G61" s="48">
        <f t="shared" ref="G61" si="56">SUM(G54:G60)</f>
        <v>222658.50191855975</v>
      </c>
      <c r="H61" s="48">
        <f t="shared" ref="H61" si="57">SUM(H54:H60)</f>
        <v>0</v>
      </c>
      <c r="I61" s="48">
        <f t="shared" ref="I61" si="58">SUM(I54:I60)</f>
        <v>4520403.9212779524</v>
      </c>
      <c r="J61" s="48">
        <f t="shared" ref="J61" si="59">SUM(J54:J60)</f>
        <v>12676547.759802733</v>
      </c>
    </row>
    <row r="62" spans="1:11" x14ac:dyDescent="0.15">
      <c r="C62" s="20">
        <f>'FA CA'!F176-FAS!C61</f>
        <v>0</v>
      </c>
    </row>
    <row r="63" spans="1:11" ht="11.25" thickBot="1" x14ac:dyDescent="0.2"/>
    <row r="64" spans="1:11" ht="11.25" thickBot="1" x14ac:dyDescent="0.2">
      <c r="A64" s="204" t="s">
        <v>38</v>
      </c>
      <c r="B64" s="205" t="s">
        <v>22</v>
      </c>
      <c r="C64" s="206" t="s">
        <v>20</v>
      </c>
      <c r="D64" s="206" t="s">
        <v>23</v>
      </c>
      <c r="E64" s="224"/>
      <c r="F64" s="292" t="s">
        <v>21</v>
      </c>
      <c r="G64" s="293"/>
      <c r="H64" s="294"/>
      <c r="I64" s="206"/>
      <c r="J64" s="206" t="s">
        <v>7</v>
      </c>
    </row>
    <row r="65" spans="1:11" ht="11.25" thickBot="1" x14ac:dyDescent="0.2">
      <c r="A65" s="207"/>
      <c r="B65" s="208" t="s">
        <v>137</v>
      </c>
      <c r="C65" s="209"/>
      <c r="D65" s="209"/>
      <c r="E65" s="209"/>
      <c r="F65" s="209" t="str">
        <f>B65</f>
        <v>01.04.2023</v>
      </c>
      <c r="G65" s="209" t="s">
        <v>20</v>
      </c>
      <c r="H65" s="209" t="s">
        <v>23</v>
      </c>
      <c r="I65" s="209" t="s">
        <v>24</v>
      </c>
      <c r="J65" s="209" t="s">
        <v>135</v>
      </c>
    </row>
    <row r="66" spans="1:11" x14ac:dyDescent="0.15">
      <c r="A66" s="211" t="s">
        <v>10</v>
      </c>
      <c r="B66" s="189">
        <f>J54</f>
        <v>1361192.1932249973</v>
      </c>
      <c r="C66" s="189">
        <f>SUMIF('FA CA'!$C$178:$C$185,FAS!A66,'FA CA'!$F$178:$F$185)</f>
        <v>5454</v>
      </c>
      <c r="D66" s="212">
        <f>0</f>
        <v>0</v>
      </c>
      <c r="E66" s="213">
        <f>B66+C66-D66</f>
        <v>1366646.1932249973</v>
      </c>
      <c r="F66" s="189">
        <f t="shared" ref="F66:F72" si="60">B66*K66%</f>
        <v>66294.025385018467</v>
      </c>
      <c r="G66" s="189">
        <f>SUMIF('FA CA'!$C$178:$C$185,FAS!A66,'FA CA'!$L$178:$L$185)</f>
        <v>216.86700103998606</v>
      </c>
      <c r="H66" s="212">
        <f>0</f>
        <v>0</v>
      </c>
      <c r="I66" s="213">
        <f>F66+G66-H66</f>
        <v>66510.892386058447</v>
      </c>
      <c r="J66" s="213">
        <f>E66-I66</f>
        <v>1300135.3008389389</v>
      </c>
      <c r="K66" s="239">
        <v>4.8702913310097458</v>
      </c>
    </row>
    <row r="67" spans="1:11" x14ac:dyDescent="0.15">
      <c r="A67" s="215" t="s">
        <v>11</v>
      </c>
      <c r="B67" s="216">
        <f t="shared" ref="B67:B72" si="61">J55</f>
        <v>2297044.5362658594</v>
      </c>
      <c r="C67" s="193">
        <f>SUMIF('FA CA'!$C$178:$C$185,FAS!A67,'FA CA'!$F$178:$F$185)</f>
        <v>87655</v>
      </c>
      <c r="D67" s="217">
        <f>0</f>
        <v>0</v>
      </c>
      <c r="E67" s="218">
        <f t="shared" ref="E67:E72" si="62">B67+C67-D67</f>
        <v>2384699.5362658594</v>
      </c>
      <c r="F67" s="193">
        <f t="shared" si="60"/>
        <v>415848.38066279166</v>
      </c>
      <c r="G67" s="193">
        <f>SUMIF('FA CA'!$C$178:$C$185,FAS!A67,'FA CA'!$L$178:$L$185)</f>
        <v>11434.184013873522</v>
      </c>
      <c r="H67" s="217">
        <f>0</f>
        <v>0</v>
      </c>
      <c r="I67" s="218">
        <f t="shared" ref="I67:I72" si="63">F67+G67-H67</f>
        <v>427282.56467666518</v>
      </c>
      <c r="J67" s="218">
        <f t="shared" ref="J67:J72" si="64">E67-I67</f>
        <v>1957416.9715891941</v>
      </c>
      <c r="K67" s="239">
        <v>18.103627252208465</v>
      </c>
    </row>
    <row r="68" spans="1:11" x14ac:dyDescent="0.15">
      <c r="A68" s="215" t="s">
        <v>12</v>
      </c>
      <c r="B68" s="216">
        <f t="shared" si="61"/>
        <v>955974.59048678493</v>
      </c>
      <c r="C68" s="193">
        <f>SUMIF('FA CA'!$C$178:$C$185,FAS!A68,'FA CA'!$F$178:$F$185)</f>
        <v>67544</v>
      </c>
      <c r="D68" s="217">
        <f>0</f>
        <v>0</v>
      </c>
      <c r="E68" s="218">
        <f t="shared" si="62"/>
        <v>1023518.5904867849</v>
      </c>
      <c r="F68" s="193">
        <f t="shared" si="60"/>
        <v>247468.88900612167</v>
      </c>
      <c r="G68" s="193">
        <f>SUMIF('FA CA'!$C$178:$C$185,FAS!A68,'FA CA'!$L$178:$L$185)</f>
        <v>10922.021280686669</v>
      </c>
      <c r="H68" s="217">
        <f>0</f>
        <v>0</v>
      </c>
      <c r="I68" s="218">
        <f t="shared" si="63"/>
        <v>258390.91028680833</v>
      </c>
      <c r="J68" s="218">
        <f t="shared" si="64"/>
        <v>765127.68019997654</v>
      </c>
      <c r="K68" s="239">
        <v>25.886555089305229</v>
      </c>
    </row>
    <row r="69" spans="1:11" x14ac:dyDescent="0.15">
      <c r="A69" s="215" t="s">
        <v>13</v>
      </c>
      <c r="B69" s="216">
        <f t="shared" si="61"/>
        <v>2006379.7958209047</v>
      </c>
      <c r="C69" s="193">
        <f>SUMIF('FA CA'!$C$178:$C$185,FAS!A69,'FA CA'!$F$178:$F$185)</f>
        <v>675464</v>
      </c>
      <c r="D69" s="217">
        <f>0</f>
        <v>0</v>
      </c>
      <c r="E69" s="218">
        <f t="shared" si="62"/>
        <v>2681843.7958209049</v>
      </c>
      <c r="F69" s="193">
        <f t="shared" si="60"/>
        <v>519382.61114586826</v>
      </c>
      <c r="G69" s="193">
        <f>SUMIF('FA CA'!$C$178:$C$185,FAS!A69,'FA CA'!$L$178:$L$185)</f>
        <v>92457.237179194417</v>
      </c>
      <c r="H69" s="217">
        <f>0</f>
        <v>0</v>
      </c>
      <c r="I69" s="218">
        <f t="shared" si="63"/>
        <v>611839.84832506266</v>
      </c>
      <c r="J69" s="218">
        <f t="shared" si="64"/>
        <v>2070003.9474958424</v>
      </c>
      <c r="K69" s="239">
        <v>25.886555089305229</v>
      </c>
    </row>
    <row r="70" spans="1:11" x14ac:dyDescent="0.15">
      <c r="A70" s="215" t="s">
        <v>14</v>
      </c>
      <c r="B70" s="216">
        <f t="shared" si="61"/>
        <v>1808927.177953894</v>
      </c>
      <c r="C70" s="193">
        <f>SUMIF('FA CA'!$C$178:$C$185,FAS!A70,'FA CA'!$F$178:$F$185)</f>
        <v>657456</v>
      </c>
      <c r="D70" s="217">
        <f>0</f>
        <v>0</v>
      </c>
      <c r="E70" s="218">
        <f t="shared" si="62"/>
        <v>2466383.1779538943</v>
      </c>
      <c r="F70" s="193">
        <f t="shared" si="60"/>
        <v>815319.16624677787</v>
      </c>
      <c r="G70" s="193">
        <f>SUMIF('FA CA'!$C$178:$C$185,FAS!A70,'FA CA'!$L$178:$L$185)</f>
        <v>128273.65911170001</v>
      </c>
      <c r="H70" s="217">
        <f>0</f>
        <v>0</v>
      </c>
      <c r="I70" s="218">
        <f t="shared" si="63"/>
        <v>943592.82535847789</v>
      </c>
      <c r="J70" s="218">
        <f t="shared" si="64"/>
        <v>1522790.3525954164</v>
      </c>
      <c r="K70" s="239">
        <v>45.071972834694108</v>
      </c>
    </row>
    <row r="71" spans="1:11" ht="21" x14ac:dyDescent="0.15">
      <c r="A71" s="225" t="s">
        <v>15</v>
      </c>
      <c r="B71" s="216">
        <f t="shared" si="61"/>
        <v>755800.81493391911</v>
      </c>
      <c r="C71" s="193">
        <f>SUMIF('FA CA'!$C$178:$C$185,FAS!A71,'FA CA'!$F$178:$F$185)</f>
        <v>54645</v>
      </c>
      <c r="D71" s="217">
        <f>0</f>
        <v>0</v>
      </c>
      <c r="E71" s="218">
        <f t="shared" si="62"/>
        <v>810445.81493391911</v>
      </c>
      <c r="F71" s="193">
        <f t="shared" si="60"/>
        <v>297058.26610780461</v>
      </c>
      <c r="G71" s="193">
        <f>SUMIF('FA CA'!$C$178:$C$185,FAS!A71,'FA CA'!$L$178:$L$185)</f>
        <v>7237.6397618685123</v>
      </c>
      <c r="H71" s="217">
        <f>0</f>
        <v>0</v>
      </c>
      <c r="I71" s="218">
        <f t="shared" si="63"/>
        <v>304295.90586967312</v>
      </c>
      <c r="J71" s="218">
        <f t="shared" si="64"/>
        <v>506149.90906424599</v>
      </c>
      <c r="K71" s="239">
        <v>39.303776899708275</v>
      </c>
    </row>
    <row r="72" spans="1:11" ht="11.25" thickBot="1" x14ac:dyDescent="0.2">
      <c r="A72" s="221" t="s">
        <v>16</v>
      </c>
      <c r="B72" s="220">
        <f t="shared" si="61"/>
        <v>3491228.6511163744</v>
      </c>
      <c r="C72" s="198">
        <f>SUMIF('FA CA'!$C$178:$C$185,FAS!A72,'FA CA'!$F$178:$F$185)</f>
        <v>456345</v>
      </c>
      <c r="D72" s="226">
        <f>0</f>
        <v>0</v>
      </c>
      <c r="E72" s="227">
        <f t="shared" si="62"/>
        <v>3947573.6511163744</v>
      </c>
      <c r="F72" s="198">
        <f t="shared" si="60"/>
        <v>903758.8280648482</v>
      </c>
      <c r="G72" s="198">
        <f>SUMIF('FA CA'!$C$178:$C$185,FAS!A72,'FA CA'!$L$178:$L$185)</f>
        <v>9709.4794374484882</v>
      </c>
      <c r="H72" s="226">
        <f>0</f>
        <v>0</v>
      </c>
      <c r="I72" s="227">
        <f t="shared" si="63"/>
        <v>913468.30750229664</v>
      </c>
      <c r="J72" s="227">
        <f t="shared" si="64"/>
        <v>3034105.3436140777</v>
      </c>
      <c r="K72" s="239">
        <v>25.886555089305229</v>
      </c>
    </row>
    <row r="73" spans="1:11" ht="11.25" thickBot="1" x14ac:dyDescent="0.2">
      <c r="A73" s="203"/>
      <c r="B73" s="222">
        <f t="shared" ref="B73" si="65">SUM(B66:B72)</f>
        <v>12676547.759802733</v>
      </c>
      <c r="C73" s="222">
        <f t="shared" ref="C73" si="66">SUM(C66:C72)</f>
        <v>2004563</v>
      </c>
      <c r="D73" s="222">
        <f t="shared" ref="D73" si="67">SUM(D66:D72)</f>
        <v>0</v>
      </c>
      <c r="E73" s="222">
        <f t="shared" ref="E73" si="68">SUM(E66:E72)</f>
        <v>14681110.759802733</v>
      </c>
      <c r="F73" s="222">
        <f t="shared" ref="F73" si="69">SUM(F66:F72)</f>
        <v>3265130.1666192305</v>
      </c>
      <c r="G73" s="222">
        <f t="shared" ref="G73" si="70">SUM(G66:G72)</f>
        <v>260251.08778581163</v>
      </c>
      <c r="H73" s="222">
        <f t="shared" ref="H73" si="71">SUM(H66:H72)</f>
        <v>0</v>
      </c>
      <c r="I73" s="222">
        <f t="shared" ref="I73" si="72">SUM(I66:I72)</f>
        <v>3525381.2544050422</v>
      </c>
      <c r="J73" s="222">
        <f t="shared" ref="J73" si="73">SUM(J66:J72)</f>
        <v>11155729.505397692</v>
      </c>
    </row>
    <row r="74" spans="1:11" x14ac:dyDescent="0.15">
      <c r="C74" s="20">
        <f>'FA CA'!F185-FAS!C73</f>
        <v>0</v>
      </c>
    </row>
  </sheetData>
  <mergeCells count="6">
    <mergeCell ref="F52:H52"/>
    <mergeCell ref="F64:H64"/>
    <mergeCell ref="F4:H4"/>
    <mergeCell ref="F16:H16"/>
    <mergeCell ref="F28:H28"/>
    <mergeCell ref="F40:H4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6"/>
  <sheetViews>
    <sheetView tabSelected="1" topLeftCell="A184" workbookViewId="0">
      <selection activeCell="M201" sqref="M201"/>
    </sheetView>
  </sheetViews>
  <sheetFormatPr defaultRowHeight="10.5" x14ac:dyDescent="0.15"/>
  <cols>
    <col min="1" max="1" width="5.42578125" style="2" customWidth="1"/>
    <col min="2" max="3" width="33.140625" style="2" bestFit="1" customWidth="1"/>
    <col min="4" max="4" width="9.7109375" style="2" customWidth="1"/>
    <col min="5" max="5" width="11.85546875" style="2" customWidth="1"/>
    <col min="6" max="6" width="14.28515625" style="2" customWidth="1"/>
    <col min="7" max="7" width="11.85546875" style="2" customWidth="1"/>
    <col min="8" max="8" width="4.42578125" style="2" customWidth="1"/>
    <col min="9" max="9" width="9.42578125" style="2" customWidth="1"/>
    <col min="10" max="10" width="8.7109375" style="2" customWidth="1"/>
    <col min="11" max="12" width="11.85546875" style="2" customWidth="1"/>
    <col min="13" max="13" width="14.28515625" style="2" bestFit="1" customWidth="1"/>
    <col min="14" max="16384" width="9.140625" style="7"/>
  </cols>
  <sheetData>
    <row r="1" spans="1:13" ht="11.25" thickBot="1" x14ac:dyDescent="0.2">
      <c r="I1" s="3">
        <v>43190</v>
      </c>
      <c r="J1" s="2">
        <v>365</v>
      </c>
    </row>
    <row r="2" spans="1:13" s="8" customFormat="1" ht="42.75" thickBot="1" x14ac:dyDescent="0.3">
      <c r="A2" s="4" t="s">
        <v>0</v>
      </c>
      <c r="B2" s="6" t="s">
        <v>1</v>
      </c>
      <c r="C2" s="6" t="s">
        <v>2</v>
      </c>
      <c r="D2" s="5" t="s">
        <v>3</v>
      </c>
      <c r="E2" s="5" t="s">
        <v>9</v>
      </c>
      <c r="F2" s="6" t="s">
        <v>8</v>
      </c>
      <c r="G2" s="6" t="s">
        <v>4</v>
      </c>
      <c r="H2" s="5" t="s">
        <v>17</v>
      </c>
      <c r="I2" s="6" t="s">
        <v>5</v>
      </c>
      <c r="J2" s="5" t="s">
        <v>18</v>
      </c>
      <c r="K2" s="6" t="s">
        <v>32</v>
      </c>
      <c r="L2" s="6" t="s">
        <v>6</v>
      </c>
      <c r="M2" s="9" t="s">
        <v>7</v>
      </c>
    </row>
    <row r="3" spans="1:13" x14ac:dyDescent="0.15">
      <c r="A3" s="10">
        <v>1</v>
      </c>
      <c r="B3" s="7" t="s">
        <v>10</v>
      </c>
      <c r="C3" s="7" t="s">
        <v>10</v>
      </c>
      <c r="D3" s="11">
        <v>42829</v>
      </c>
      <c r="E3" s="7">
        <v>0</v>
      </c>
      <c r="F3" s="7">
        <v>103758</v>
      </c>
      <c r="G3" s="7">
        <f>F3*5%</f>
        <v>5187.9000000000005</v>
      </c>
      <c r="H3" s="7">
        <f>60</f>
        <v>60</v>
      </c>
      <c r="I3" s="12">
        <f>(1-(G3/F3)^(1/H3))*100</f>
        <v>4.8702913310097458</v>
      </c>
      <c r="J3" s="7">
        <f t="shared" ref="J3:J34" si="0">$I$1-D3</f>
        <v>361</v>
      </c>
      <c r="K3" s="7">
        <f t="shared" ref="K3" si="1">(E3)*I3%*J3/$J$1</f>
        <v>0</v>
      </c>
      <c r="L3" s="7">
        <f t="shared" ref="L3" si="2">(F3)*I3%*J3/$J$1</f>
        <v>4997.9380641142525</v>
      </c>
      <c r="M3" s="13">
        <f t="shared" ref="M3" si="3">F3+E3-L3-K3</f>
        <v>98760.061935885751</v>
      </c>
    </row>
    <row r="4" spans="1:13" x14ac:dyDescent="0.15">
      <c r="A4" s="10">
        <v>2</v>
      </c>
      <c r="B4" s="7" t="s">
        <v>10</v>
      </c>
      <c r="C4" s="7" t="s">
        <v>10</v>
      </c>
      <c r="D4" s="11">
        <f>D3+5</f>
        <v>42834</v>
      </c>
      <c r="E4" s="7">
        <v>90990</v>
      </c>
      <c r="F4" s="7">
        <v>0</v>
      </c>
      <c r="G4" s="7">
        <f t="shared" ref="G4:G35" si="4">(F4+E4)*5%</f>
        <v>4549.5</v>
      </c>
      <c r="H4" s="7">
        <f>60</f>
        <v>60</v>
      </c>
      <c r="I4" s="12">
        <f t="shared" ref="I4:I35" si="5">(1-(G4/(F4+E4))^(1/H4))*100</f>
        <v>4.8702913310097458</v>
      </c>
      <c r="J4" s="7">
        <f t="shared" si="0"/>
        <v>356</v>
      </c>
      <c r="K4" s="7">
        <f>(E4)*I4%*J4/$J$1</f>
        <v>4322.20875951379</v>
      </c>
      <c r="L4" s="7">
        <f>(F4)*I4%*J4/$J$1</f>
        <v>0</v>
      </c>
      <c r="M4" s="13">
        <f>F4+E4-L4-K4</f>
        <v>86667.791240486215</v>
      </c>
    </row>
    <row r="5" spans="1:13" x14ac:dyDescent="0.15">
      <c r="A5" s="10">
        <v>3</v>
      </c>
      <c r="B5" s="7" t="s">
        <v>10</v>
      </c>
      <c r="C5" s="7" t="s">
        <v>10</v>
      </c>
      <c r="D5" s="11">
        <f t="shared" ref="D5:D68" si="6">D4+5</f>
        <v>42839</v>
      </c>
      <c r="E5" s="7">
        <v>0</v>
      </c>
      <c r="F5" s="7">
        <v>79606</v>
      </c>
      <c r="G5" s="7">
        <f t="shared" si="4"/>
        <v>3980.3</v>
      </c>
      <c r="H5" s="7">
        <f>60</f>
        <v>60</v>
      </c>
      <c r="I5" s="12">
        <f t="shared" si="5"/>
        <v>4.8702913310097458</v>
      </c>
      <c r="J5" s="7">
        <f t="shared" si="0"/>
        <v>351</v>
      </c>
      <c r="K5" s="7">
        <f t="shared" ref="K5:K68" si="7">(E5)*I5%*J5/$J$1</f>
        <v>0</v>
      </c>
      <c r="L5" s="7">
        <f t="shared" ref="L5:L68" si="8">(F5)*I5%*J5/$J$1</f>
        <v>3728.3355754910408</v>
      </c>
      <c r="M5" s="13">
        <f t="shared" ref="M5:M68" si="9">F5+E5-L5-K5</f>
        <v>75877.664424508956</v>
      </c>
    </row>
    <row r="6" spans="1:13" x14ac:dyDescent="0.15">
      <c r="A6" s="10">
        <v>4</v>
      </c>
      <c r="B6" s="7" t="s">
        <v>10</v>
      </c>
      <c r="C6" s="7" t="s">
        <v>10</v>
      </c>
      <c r="D6" s="11">
        <f t="shared" si="6"/>
        <v>42844</v>
      </c>
      <c r="E6" s="7">
        <v>0</v>
      </c>
      <c r="F6" s="7">
        <v>3306</v>
      </c>
      <c r="G6" s="7">
        <f t="shared" si="4"/>
        <v>165.3</v>
      </c>
      <c r="H6" s="7">
        <f>60</f>
        <v>60</v>
      </c>
      <c r="I6" s="12">
        <f t="shared" si="5"/>
        <v>4.8702913310097458</v>
      </c>
      <c r="J6" s="7">
        <f t="shared" si="0"/>
        <v>346</v>
      </c>
      <c r="K6" s="7">
        <f t="shared" si="7"/>
        <v>0</v>
      </c>
      <c r="L6" s="7">
        <f t="shared" si="8"/>
        <v>152.63039360411244</v>
      </c>
      <c r="M6" s="13">
        <f t="shared" si="9"/>
        <v>3153.3696063958878</v>
      </c>
    </row>
    <row r="7" spans="1:13" x14ac:dyDescent="0.15">
      <c r="A7" s="10">
        <v>5</v>
      </c>
      <c r="B7" s="7" t="s">
        <v>10</v>
      </c>
      <c r="C7" s="7" t="s">
        <v>10</v>
      </c>
      <c r="D7" s="11">
        <f t="shared" si="6"/>
        <v>42849</v>
      </c>
      <c r="E7" s="7">
        <v>1200</v>
      </c>
      <c r="F7" s="7">
        <v>0</v>
      </c>
      <c r="G7" s="7">
        <f t="shared" si="4"/>
        <v>60</v>
      </c>
      <c r="H7" s="7">
        <f>60</f>
        <v>60</v>
      </c>
      <c r="I7" s="12">
        <f t="shared" si="5"/>
        <v>4.8702913310097458</v>
      </c>
      <c r="J7" s="7">
        <f t="shared" si="0"/>
        <v>341</v>
      </c>
      <c r="K7" s="7">
        <f t="shared" si="7"/>
        <v>54.600635962991447</v>
      </c>
      <c r="L7" s="7">
        <f t="shared" si="8"/>
        <v>0</v>
      </c>
      <c r="M7" s="13">
        <f t="shared" si="9"/>
        <v>1145.3993640370086</v>
      </c>
    </row>
    <row r="8" spans="1:13" x14ac:dyDescent="0.15">
      <c r="A8" s="10">
        <v>6</v>
      </c>
      <c r="B8" s="7" t="s">
        <v>10</v>
      </c>
      <c r="C8" s="7" t="s">
        <v>10</v>
      </c>
      <c r="D8" s="11">
        <f t="shared" si="6"/>
        <v>42854</v>
      </c>
      <c r="E8" s="7">
        <v>0</v>
      </c>
      <c r="F8" s="7">
        <v>13500</v>
      </c>
      <c r="G8" s="7">
        <f t="shared" si="4"/>
        <v>675</v>
      </c>
      <c r="H8" s="7">
        <f>60</f>
        <v>60</v>
      </c>
      <c r="I8" s="12">
        <f t="shared" si="5"/>
        <v>4.8702913310097458</v>
      </c>
      <c r="J8" s="7">
        <f t="shared" si="0"/>
        <v>336</v>
      </c>
      <c r="K8" s="7">
        <f t="shared" si="7"/>
        <v>0</v>
      </c>
      <c r="L8" s="7">
        <f t="shared" si="8"/>
        <v>605.25045143726584</v>
      </c>
      <c r="M8" s="13">
        <f t="shared" si="9"/>
        <v>12894.749548562733</v>
      </c>
    </row>
    <row r="9" spans="1:13" x14ac:dyDescent="0.15">
      <c r="A9" s="10">
        <v>7</v>
      </c>
      <c r="B9" s="7" t="s">
        <v>10</v>
      </c>
      <c r="C9" s="7" t="s">
        <v>10</v>
      </c>
      <c r="D9" s="11">
        <f t="shared" si="6"/>
        <v>42859</v>
      </c>
      <c r="E9" s="7">
        <v>0</v>
      </c>
      <c r="F9" s="7">
        <v>256348</v>
      </c>
      <c r="G9" s="7">
        <f t="shared" si="4"/>
        <v>12817.400000000001</v>
      </c>
      <c r="H9" s="7">
        <f>60</f>
        <v>60</v>
      </c>
      <c r="I9" s="12">
        <f t="shared" si="5"/>
        <v>4.8702913310097458</v>
      </c>
      <c r="J9" s="7">
        <f t="shared" si="0"/>
        <v>331</v>
      </c>
      <c r="K9" s="7">
        <f t="shared" si="7"/>
        <v>0</v>
      </c>
      <c r="L9" s="7">
        <f t="shared" si="8"/>
        <v>11321.917954582963</v>
      </c>
      <c r="M9" s="13">
        <f t="shared" si="9"/>
        <v>245026.08204541705</v>
      </c>
    </row>
    <row r="10" spans="1:13" x14ac:dyDescent="0.15">
      <c r="A10" s="10">
        <v>8</v>
      </c>
      <c r="B10" s="7" t="s">
        <v>10</v>
      </c>
      <c r="C10" s="7" t="s">
        <v>10</v>
      </c>
      <c r="D10" s="11">
        <f t="shared" si="6"/>
        <v>42864</v>
      </c>
      <c r="E10" s="7">
        <v>0</v>
      </c>
      <c r="F10" s="7">
        <v>104111</v>
      </c>
      <c r="G10" s="7">
        <f t="shared" si="4"/>
        <v>5205.55</v>
      </c>
      <c r="H10" s="7">
        <f>60</f>
        <v>60</v>
      </c>
      <c r="I10" s="12">
        <f t="shared" si="5"/>
        <v>4.8702913310097458</v>
      </c>
      <c r="J10" s="7">
        <f t="shared" si="0"/>
        <v>326</v>
      </c>
      <c r="K10" s="7">
        <f t="shared" si="7"/>
        <v>0</v>
      </c>
      <c r="L10" s="7">
        <f t="shared" si="8"/>
        <v>4528.7285931139277</v>
      </c>
      <c r="M10" s="13">
        <f t="shared" si="9"/>
        <v>99582.271406886066</v>
      </c>
    </row>
    <row r="11" spans="1:13" x14ac:dyDescent="0.15">
      <c r="A11" s="10">
        <v>9</v>
      </c>
      <c r="B11" s="7" t="s">
        <v>10</v>
      </c>
      <c r="C11" s="7" t="s">
        <v>10</v>
      </c>
      <c r="D11" s="11">
        <f t="shared" si="6"/>
        <v>42869</v>
      </c>
      <c r="E11" s="7">
        <v>0</v>
      </c>
      <c r="F11" s="7">
        <v>91255</v>
      </c>
      <c r="G11" s="7">
        <f t="shared" si="4"/>
        <v>4562.75</v>
      </c>
      <c r="H11" s="7">
        <f>60</f>
        <v>60</v>
      </c>
      <c r="I11" s="12">
        <f t="shared" si="5"/>
        <v>4.8702913310097458</v>
      </c>
      <c r="J11" s="7">
        <f t="shared" si="0"/>
        <v>321</v>
      </c>
      <c r="K11" s="7">
        <f t="shared" si="7"/>
        <v>0</v>
      </c>
      <c r="L11" s="7">
        <f t="shared" si="8"/>
        <v>3908.6229525212461</v>
      </c>
      <c r="M11" s="13">
        <f t="shared" si="9"/>
        <v>87346.37704747876</v>
      </c>
    </row>
    <row r="12" spans="1:13" x14ac:dyDescent="0.15">
      <c r="A12" s="10">
        <v>10</v>
      </c>
      <c r="B12" s="7" t="s">
        <v>10</v>
      </c>
      <c r="C12" s="7" t="s">
        <v>10</v>
      </c>
      <c r="D12" s="11">
        <f t="shared" si="6"/>
        <v>42874</v>
      </c>
      <c r="E12" s="7">
        <v>0</v>
      </c>
      <c r="F12" s="7">
        <v>79871</v>
      </c>
      <c r="G12" s="7">
        <f t="shared" si="4"/>
        <v>3993.55</v>
      </c>
      <c r="H12" s="7">
        <f>60</f>
        <v>60</v>
      </c>
      <c r="I12" s="12">
        <f t="shared" si="5"/>
        <v>4.8702913310097458</v>
      </c>
      <c r="J12" s="7">
        <f t="shared" si="0"/>
        <v>316</v>
      </c>
      <c r="K12" s="7">
        <f t="shared" si="7"/>
        <v>0</v>
      </c>
      <c r="L12" s="7">
        <f t="shared" si="8"/>
        <v>3367.7378710166872</v>
      </c>
      <c r="M12" s="13">
        <f t="shared" si="9"/>
        <v>76503.262128983319</v>
      </c>
    </row>
    <row r="13" spans="1:13" x14ac:dyDescent="0.15">
      <c r="A13" s="10">
        <v>11</v>
      </c>
      <c r="B13" s="7" t="s">
        <v>10</v>
      </c>
      <c r="C13" s="7" t="s">
        <v>10</v>
      </c>
      <c r="D13" s="11">
        <f t="shared" si="6"/>
        <v>42879</v>
      </c>
      <c r="E13" s="7">
        <v>0</v>
      </c>
      <c r="F13" s="7">
        <v>3348</v>
      </c>
      <c r="G13" s="7">
        <f t="shared" si="4"/>
        <v>167.4</v>
      </c>
      <c r="H13" s="7">
        <f>60</f>
        <v>60</v>
      </c>
      <c r="I13" s="12">
        <f t="shared" si="5"/>
        <v>4.8702913310097458</v>
      </c>
      <c r="J13" s="7">
        <f t="shared" si="0"/>
        <v>311</v>
      </c>
      <c r="K13" s="7">
        <f t="shared" si="7"/>
        <v>0</v>
      </c>
      <c r="L13" s="7">
        <f t="shared" si="8"/>
        <v>138.93380005492097</v>
      </c>
      <c r="M13" s="13">
        <f t="shared" si="9"/>
        <v>3209.066199945079</v>
      </c>
    </row>
    <row r="14" spans="1:13" x14ac:dyDescent="0.15">
      <c r="A14" s="10">
        <v>12</v>
      </c>
      <c r="B14" s="7" t="s">
        <v>10</v>
      </c>
      <c r="C14" s="7" t="s">
        <v>10</v>
      </c>
      <c r="D14" s="11">
        <f t="shared" si="6"/>
        <v>42884</v>
      </c>
      <c r="E14" s="7">
        <v>1200</v>
      </c>
      <c r="F14" s="7">
        <v>0</v>
      </c>
      <c r="G14" s="7">
        <f t="shared" si="4"/>
        <v>60</v>
      </c>
      <c r="H14" s="7">
        <f>60</f>
        <v>60</v>
      </c>
      <c r="I14" s="12">
        <f t="shared" si="5"/>
        <v>4.8702913310097458</v>
      </c>
      <c r="J14" s="7">
        <f t="shared" si="0"/>
        <v>306</v>
      </c>
      <c r="K14" s="7">
        <f t="shared" si="7"/>
        <v>48.996465116350102</v>
      </c>
      <c r="L14" s="7">
        <f t="shared" si="8"/>
        <v>0</v>
      </c>
      <c r="M14" s="13">
        <f t="shared" si="9"/>
        <v>1151.00353488365</v>
      </c>
    </row>
    <row r="15" spans="1:13" x14ac:dyDescent="0.15">
      <c r="A15" s="10">
        <v>13</v>
      </c>
      <c r="B15" s="7" t="s">
        <v>10</v>
      </c>
      <c r="C15" s="7" t="s">
        <v>10</v>
      </c>
      <c r="D15" s="11">
        <f t="shared" si="6"/>
        <v>42889</v>
      </c>
      <c r="E15" s="7">
        <v>0</v>
      </c>
      <c r="F15" s="7">
        <v>14250</v>
      </c>
      <c r="G15" s="7">
        <f t="shared" si="4"/>
        <v>712.5</v>
      </c>
      <c r="H15" s="7">
        <f>60</f>
        <v>60</v>
      </c>
      <c r="I15" s="12">
        <f t="shared" si="5"/>
        <v>4.8702913310097458</v>
      </c>
      <c r="J15" s="7">
        <f t="shared" si="0"/>
        <v>301</v>
      </c>
      <c r="K15" s="7">
        <f t="shared" si="7"/>
        <v>0</v>
      </c>
      <c r="L15" s="7">
        <f t="shared" si="8"/>
        <v>572.32594771324796</v>
      </c>
      <c r="M15" s="13">
        <f t="shared" si="9"/>
        <v>13677.674052286751</v>
      </c>
    </row>
    <row r="16" spans="1:13" x14ac:dyDescent="0.15">
      <c r="A16" s="10">
        <v>14</v>
      </c>
      <c r="B16" s="7" t="s">
        <v>10</v>
      </c>
      <c r="C16" s="7" t="s">
        <v>10</v>
      </c>
      <c r="D16" s="11">
        <f t="shared" si="6"/>
        <v>42894</v>
      </c>
      <c r="E16" s="7">
        <v>256439</v>
      </c>
      <c r="F16" s="7">
        <v>0</v>
      </c>
      <c r="G16" s="7">
        <f t="shared" si="4"/>
        <v>12821.95</v>
      </c>
      <c r="H16" s="7">
        <f>60</f>
        <v>60</v>
      </c>
      <c r="I16" s="12">
        <f t="shared" si="5"/>
        <v>4.8702913310097458</v>
      </c>
      <c r="J16" s="7">
        <f t="shared" si="0"/>
        <v>296</v>
      </c>
      <c r="K16" s="7">
        <f t="shared" si="7"/>
        <v>10128.330439323594</v>
      </c>
      <c r="L16" s="7">
        <f t="shared" si="8"/>
        <v>0</v>
      </c>
      <c r="M16" s="13">
        <f t="shared" si="9"/>
        <v>246310.66956067641</v>
      </c>
    </row>
    <row r="17" spans="1:13" x14ac:dyDescent="0.15">
      <c r="A17" s="10">
        <v>15</v>
      </c>
      <c r="B17" s="7" t="s">
        <v>10</v>
      </c>
      <c r="C17" s="7" t="s">
        <v>10</v>
      </c>
      <c r="D17" s="11">
        <f t="shared" si="6"/>
        <v>42899</v>
      </c>
      <c r="E17" s="7">
        <v>0</v>
      </c>
      <c r="F17" s="7">
        <v>100890</v>
      </c>
      <c r="G17" s="7">
        <f t="shared" si="4"/>
        <v>5044.5</v>
      </c>
      <c r="H17" s="7">
        <f>60</f>
        <v>60</v>
      </c>
      <c r="I17" s="12">
        <f t="shared" si="5"/>
        <v>4.8702913310097458</v>
      </c>
      <c r="J17" s="7">
        <f t="shared" si="0"/>
        <v>291</v>
      </c>
      <c r="K17" s="7">
        <f t="shared" si="7"/>
        <v>0</v>
      </c>
      <c r="L17" s="7">
        <f t="shared" si="8"/>
        <v>3917.4475201151181</v>
      </c>
      <c r="M17" s="13">
        <f t="shared" si="9"/>
        <v>96972.552479884878</v>
      </c>
    </row>
    <row r="18" spans="1:13" x14ac:dyDescent="0.15">
      <c r="A18" s="10">
        <v>16</v>
      </c>
      <c r="B18" s="7" t="s">
        <v>11</v>
      </c>
      <c r="C18" s="7" t="s">
        <v>11</v>
      </c>
      <c r="D18" s="11">
        <v>42829</v>
      </c>
      <c r="E18" s="7">
        <v>0</v>
      </c>
      <c r="F18" s="7">
        <v>88840</v>
      </c>
      <c r="G18" s="7">
        <f t="shared" si="4"/>
        <v>4442</v>
      </c>
      <c r="H18" s="7">
        <v>15</v>
      </c>
      <c r="I18" s="12">
        <f t="shared" si="5"/>
        <v>18.103627252208465</v>
      </c>
      <c r="J18" s="7">
        <f t="shared" si="0"/>
        <v>361</v>
      </c>
      <c r="K18" s="7">
        <f t="shared" si="7"/>
        <v>0</v>
      </c>
      <c r="L18" s="7">
        <f t="shared" si="8"/>
        <v>15907.00751989365</v>
      </c>
      <c r="M18" s="13">
        <f t="shared" si="9"/>
        <v>72932.992480106346</v>
      </c>
    </row>
    <row r="19" spans="1:13" x14ac:dyDescent="0.15">
      <c r="A19" s="10">
        <v>17</v>
      </c>
      <c r="B19" s="7" t="s">
        <v>11</v>
      </c>
      <c r="C19" s="7" t="s">
        <v>11</v>
      </c>
      <c r="D19" s="11">
        <f>D18+5</f>
        <v>42834</v>
      </c>
      <c r="E19" s="7">
        <v>0</v>
      </c>
      <c r="F19" s="7">
        <v>77456</v>
      </c>
      <c r="G19" s="7">
        <f t="shared" si="4"/>
        <v>3872.8</v>
      </c>
      <c r="H19" s="7">
        <v>15</v>
      </c>
      <c r="I19" s="12">
        <f t="shared" si="5"/>
        <v>18.103627252208465</v>
      </c>
      <c r="J19" s="7">
        <f t="shared" si="0"/>
        <v>356</v>
      </c>
      <c r="K19" s="7">
        <f t="shared" si="7"/>
        <v>0</v>
      </c>
      <c r="L19" s="7">
        <f t="shared" si="8"/>
        <v>13676.589059483642</v>
      </c>
      <c r="M19" s="13">
        <f t="shared" si="9"/>
        <v>63779.410940516362</v>
      </c>
    </row>
    <row r="20" spans="1:13" x14ac:dyDescent="0.15">
      <c r="A20" s="10">
        <v>18</v>
      </c>
      <c r="B20" s="7" t="s">
        <v>11</v>
      </c>
      <c r="C20" s="7" t="s">
        <v>11</v>
      </c>
      <c r="D20" s="11">
        <f t="shared" si="6"/>
        <v>42839</v>
      </c>
      <c r="E20" s="7">
        <v>0</v>
      </c>
      <c r="F20" s="7">
        <v>3283</v>
      </c>
      <c r="G20" s="7">
        <f t="shared" si="4"/>
        <v>164.15</v>
      </c>
      <c r="H20" s="7">
        <v>15</v>
      </c>
      <c r="I20" s="12">
        <f t="shared" si="5"/>
        <v>18.103627252208465</v>
      </c>
      <c r="J20" s="7">
        <f t="shared" si="0"/>
        <v>351</v>
      </c>
      <c r="K20" s="7">
        <f t="shared" si="7"/>
        <v>0</v>
      </c>
      <c r="L20" s="7">
        <f t="shared" si="8"/>
        <v>571.54540006627781</v>
      </c>
      <c r="M20" s="13">
        <f t="shared" si="9"/>
        <v>2711.4545999337224</v>
      </c>
    </row>
    <row r="21" spans="1:13" x14ac:dyDescent="0.15">
      <c r="A21" s="10">
        <v>19</v>
      </c>
      <c r="B21" s="7" t="s">
        <v>11</v>
      </c>
      <c r="C21" s="7" t="s">
        <v>11</v>
      </c>
      <c r="D21" s="11">
        <f t="shared" si="6"/>
        <v>42844</v>
      </c>
      <c r="E21" s="7">
        <v>1200</v>
      </c>
      <c r="F21" s="7">
        <v>0</v>
      </c>
      <c r="G21" s="7">
        <f t="shared" si="4"/>
        <v>60</v>
      </c>
      <c r="H21" s="7">
        <v>15</v>
      </c>
      <c r="I21" s="12">
        <f t="shared" si="5"/>
        <v>18.103627252208465</v>
      </c>
      <c r="J21" s="7">
        <f t="shared" si="0"/>
        <v>346</v>
      </c>
      <c r="K21" s="7">
        <f t="shared" si="7"/>
        <v>205.93495986621795</v>
      </c>
      <c r="L21" s="7">
        <f t="shared" si="8"/>
        <v>0</v>
      </c>
      <c r="M21" s="13">
        <f t="shared" si="9"/>
        <v>994.06504013378208</v>
      </c>
    </row>
    <row r="22" spans="1:13" x14ac:dyDescent="0.15">
      <c r="A22" s="10">
        <v>20</v>
      </c>
      <c r="B22" s="7" t="s">
        <v>11</v>
      </c>
      <c r="C22" s="7" t="s">
        <v>11</v>
      </c>
      <c r="D22" s="11">
        <f t="shared" si="6"/>
        <v>42849</v>
      </c>
      <c r="E22" s="7">
        <v>0</v>
      </c>
      <c r="F22" s="7">
        <v>14250</v>
      </c>
      <c r="G22" s="7">
        <f t="shared" si="4"/>
        <v>712.5</v>
      </c>
      <c r="H22" s="7">
        <v>15</v>
      </c>
      <c r="I22" s="12">
        <f t="shared" si="5"/>
        <v>18.103627252208465</v>
      </c>
      <c r="J22" s="7">
        <f t="shared" si="0"/>
        <v>341</v>
      </c>
      <c r="K22" s="7">
        <f t="shared" si="7"/>
        <v>0</v>
      </c>
      <c r="L22" s="7">
        <f t="shared" si="8"/>
        <v>2410.1383760354515</v>
      </c>
      <c r="M22" s="13">
        <f t="shared" si="9"/>
        <v>11839.861623964549</v>
      </c>
    </row>
    <row r="23" spans="1:13" x14ac:dyDescent="0.15">
      <c r="A23" s="10">
        <v>21</v>
      </c>
      <c r="B23" s="7" t="s">
        <v>11</v>
      </c>
      <c r="C23" s="7" t="s">
        <v>11</v>
      </c>
      <c r="D23" s="11">
        <f t="shared" si="6"/>
        <v>42854</v>
      </c>
      <c r="E23" s="7">
        <v>0</v>
      </c>
      <c r="F23" s="7">
        <v>24</v>
      </c>
      <c r="G23" s="7">
        <f t="shared" si="4"/>
        <v>1.2000000000000002</v>
      </c>
      <c r="H23" s="7">
        <v>15</v>
      </c>
      <c r="I23" s="12">
        <f t="shared" si="5"/>
        <v>18.103627252208465</v>
      </c>
      <c r="J23" s="7">
        <f t="shared" si="0"/>
        <v>336</v>
      </c>
      <c r="K23" s="7">
        <f t="shared" si="7"/>
        <v>0</v>
      </c>
      <c r="L23" s="7">
        <f t="shared" si="8"/>
        <v>3.999661648268741</v>
      </c>
      <c r="M23" s="13">
        <f t="shared" si="9"/>
        <v>20.000338351731259</v>
      </c>
    </row>
    <row r="24" spans="1:13" x14ac:dyDescent="0.15">
      <c r="A24" s="10">
        <v>22</v>
      </c>
      <c r="B24" s="7" t="s">
        <v>11</v>
      </c>
      <c r="C24" s="7" t="s">
        <v>11</v>
      </c>
      <c r="D24" s="11">
        <f t="shared" si="6"/>
        <v>42859</v>
      </c>
      <c r="E24" s="7">
        <v>248429</v>
      </c>
      <c r="F24" s="7">
        <v>0</v>
      </c>
      <c r="G24" s="7">
        <f t="shared" si="4"/>
        <v>12421.45</v>
      </c>
      <c r="H24" s="7">
        <v>15</v>
      </c>
      <c r="I24" s="12">
        <f t="shared" si="5"/>
        <v>18.103627252208465</v>
      </c>
      <c r="J24" s="7">
        <f t="shared" si="0"/>
        <v>331</v>
      </c>
      <c r="K24" s="7">
        <f t="shared" si="7"/>
        <v>40785.239749191089</v>
      </c>
      <c r="L24" s="7">
        <f t="shared" si="8"/>
        <v>0</v>
      </c>
      <c r="M24" s="13">
        <f t="shared" si="9"/>
        <v>207643.7602508089</v>
      </c>
    </row>
    <row r="25" spans="1:13" x14ac:dyDescent="0.15">
      <c r="A25" s="10">
        <v>23</v>
      </c>
      <c r="B25" s="7" t="s">
        <v>11</v>
      </c>
      <c r="C25" s="7" t="s">
        <v>11</v>
      </c>
      <c r="D25" s="11">
        <f t="shared" si="6"/>
        <v>42864</v>
      </c>
      <c r="E25" s="7">
        <v>0</v>
      </c>
      <c r="F25" s="7">
        <v>102614</v>
      </c>
      <c r="G25" s="7">
        <f t="shared" si="4"/>
        <v>5130.7000000000007</v>
      </c>
      <c r="H25" s="7">
        <v>15</v>
      </c>
      <c r="I25" s="12">
        <f t="shared" si="5"/>
        <v>18.103627252208465</v>
      </c>
      <c r="J25" s="7">
        <f t="shared" si="0"/>
        <v>326</v>
      </c>
      <c r="K25" s="7">
        <f t="shared" si="7"/>
        <v>0</v>
      </c>
      <c r="L25" s="7">
        <f t="shared" si="8"/>
        <v>16591.931721527311</v>
      </c>
      <c r="M25" s="13">
        <f t="shared" si="9"/>
        <v>86022.068278472696</v>
      </c>
    </row>
    <row r="26" spans="1:13" x14ac:dyDescent="0.15">
      <c r="A26" s="10">
        <v>24</v>
      </c>
      <c r="B26" s="7" t="s">
        <v>11</v>
      </c>
      <c r="C26" s="7" t="s">
        <v>11</v>
      </c>
      <c r="D26" s="11">
        <f t="shared" si="6"/>
        <v>42869</v>
      </c>
      <c r="E26" s="7">
        <v>0</v>
      </c>
      <c r="F26" s="7">
        <v>90132</v>
      </c>
      <c r="G26" s="7">
        <f t="shared" si="4"/>
        <v>4506.6000000000004</v>
      </c>
      <c r="H26" s="7">
        <v>15</v>
      </c>
      <c r="I26" s="12">
        <f t="shared" si="5"/>
        <v>18.103627252208465</v>
      </c>
      <c r="J26" s="7">
        <f t="shared" si="0"/>
        <v>321</v>
      </c>
      <c r="K26" s="7">
        <f t="shared" si="7"/>
        <v>0</v>
      </c>
      <c r="L26" s="7">
        <f t="shared" si="8"/>
        <v>14350.161046855703</v>
      </c>
      <c r="M26" s="13">
        <f t="shared" si="9"/>
        <v>75781.838953144295</v>
      </c>
    </row>
    <row r="27" spans="1:13" x14ac:dyDescent="0.15">
      <c r="A27" s="10">
        <v>25</v>
      </c>
      <c r="B27" s="7" t="s">
        <v>11</v>
      </c>
      <c r="C27" s="7" t="s">
        <v>11</v>
      </c>
      <c r="D27" s="11">
        <f t="shared" si="6"/>
        <v>42874</v>
      </c>
      <c r="E27" s="7">
        <v>0</v>
      </c>
      <c r="F27" s="7">
        <v>78748</v>
      </c>
      <c r="G27" s="7">
        <f t="shared" si="4"/>
        <v>3937.4</v>
      </c>
      <c r="H27" s="7">
        <v>15</v>
      </c>
      <c r="I27" s="12">
        <f t="shared" si="5"/>
        <v>18.103627252208465</v>
      </c>
      <c r="J27" s="7">
        <f t="shared" si="0"/>
        <v>316</v>
      </c>
      <c r="K27" s="7">
        <f t="shared" si="7"/>
        <v>0</v>
      </c>
      <c r="L27" s="7">
        <f t="shared" si="8"/>
        <v>12342.392402158473</v>
      </c>
      <c r="M27" s="13">
        <f t="shared" si="9"/>
        <v>66405.607597841532</v>
      </c>
    </row>
    <row r="28" spans="1:13" x14ac:dyDescent="0.15">
      <c r="A28" s="10">
        <v>26</v>
      </c>
      <c r="B28" s="7" t="s">
        <v>11</v>
      </c>
      <c r="C28" s="7" t="s">
        <v>11</v>
      </c>
      <c r="D28" s="11">
        <f t="shared" si="6"/>
        <v>42879</v>
      </c>
      <c r="E28" s="7">
        <v>3168</v>
      </c>
      <c r="F28" s="7">
        <v>0</v>
      </c>
      <c r="G28" s="7">
        <f t="shared" si="4"/>
        <v>158.4</v>
      </c>
      <c r="H28" s="7">
        <v>15</v>
      </c>
      <c r="I28" s="12">
        <f t="shared" si="5"/>
        <v>18.103627252208465</v>
      </c>
      <c r="J28" s="7">
        <f t="shared" si="0"/>
        <v>311</v>
      </c>
      <c r="K28" s="7">
        <f t="shared" si="7"/>
        <v>488.67294638312012</v>
      </c>
      <c r="L28" s="7">
        <f t="shared" si="8"/>
        <v>0</v>
      </c>
      <c r="M28" s="13">
        <f t="shared" si="9"/>
        <v>2679.3270536168798</v>
      </c>
    </row>
    <row r="29" spans="1:13" x14ac:dyDescent="0.15">
      <c r="A29" s="10">
        <v>27</v>
      </c>
      <c r="B29" s="7" t="s">
        <v>11</v>
      </c>
      <c r="C29" s="7" t="s">
        <v>11</v>
      </c>
      <c r="D29" s="11">
        <f t="shared" si="6"/>
        <v>42884</v>
      </c>
      <c r="E29" s="7">
        <v>1200</v>
      </c>
      <c r="F29" s="7">
        <v>0</v>
      </c>
      <c r="G29" s="7">
        <f t="shared" si="4"/>
        <v>60</v>
      </c>
      <c r="H29" s="7">
        <v>15</v>
      </c>
      <c r="I29" s="12">
        <f t="shared" si="5"/>
        <v>18.103627252208465</v>
      </c>
      <c r="J29" s="7">
        <f t="shared" si="0"/>
        <v>306</v>
      </c>
      <c r="K29" s="7">
        <f t="shared" si="7"/>
        <v>182.12745005509447</v>
      </c>
      <c r="L29" s="7">
        <f t="shared" si="8"/>
        <v>0</v>
      </c>
      <c r="M29" s="13">
        <f t="shared" si="9"/>
        <v>1017.8725499449056</v>
      </c>
    </row>
    <row r="30" spans="1:13" x14ac:dyDescent="0.15">
      <c r="A30" s="10">
        <v>28</v>
      </c>
      <c r="B30" s="7" t="s">
        <v>11</v>
      </c>
      <c r="C30" s="7" t="s">
        <v>11</v>
      </c>
      <c r="D30" s="11">
        <f t="shared" si="6"/>
        <v>42889</v>
      </c>
      <c r="E30" s="7">
        <v>0</v>
      </c>
      <c r="F30" s="7">
        <v>14250</v>
      </c>
      <c r="G30" s="7">
        <f t="shared" si="4"/>
        <v>712.5</v>
      </c>
      <c r="H30" s="7">
        <v>15</v>
      </c>
      <c r="I30" s="12">
        <f t="shared" si="5"/>
        <v>18.103627252208465</v>
      </c>
      <c r="J30" s="7">
        <f t="shared" si="0"/>
        <v>301</v>
      </c>
      <c r="K30" s="7">
        <f t="shared" si="7"/>
        <v>0</v>
      </c>
      <c r="L30" s="7">
        <f t="shared" si="8"/>
        <v>2127.4241970283606</v>
      </c>
      <c r="M30" s="13">
        <f t="shared" si="9"/>
        <v>12122.57580297164</v>
      </c>
    </row>
    <row r="31" spans="1:13" x14ac:dyDescent="0.15">
      <c r="A31" s="10">
        <v>29</v>
      </c>
      <c r="B31" s="7" t="s">
        <v>11</v>
      </c>
      <c r="C31" s="7" t="s">
        <v>11</v>
      </c>
      <c r="D31" s="11">
        <f t="shared" si="6"/>
        <v>42894</v>
      </c>
      <c r="E31" s="7">
        <v>0</v>
      </c>
      <c r="F31" s="7">
        <v>252876</v>
      </c>
      <c r="G31" s="7">
        <f t="shared" si="4"/>
        <v>12643.800000000001</v>
      </c>
      <c r="H31" s="7">
        <v>15</v>
      </c>
      <c r="I31" s="12">
        <f t="shared" si="5"/>
        <v>18.103627252208465</v>
      </c>
      <c r="J31" s="7">
        <f t="shared" si="0"/>
        <v>296</v>
      </c>
      <c r="K31" s="7">
        <f t="shared" si="7"/>
        <v>0</v>
      </c>
      <c r="L31" s="7">
        <f t="shared" si="8"/>
        <v>37125.478414485544</v>
      </c>
      <c r="M31" s="13">
        <f t="shared" si="9"/>
        <v>215750.52158551445</v>
      </c>
    </row>
    <row r="32" spans="1:13" x14ac:dyDescent="0.15">
      <c r="A32" s="10">
        <v>30</v>
      </c>
      <c r="B32" s="7" t="s">
        <v>11</v>
      </c>
      <c r="C32" s="7" t="s">
        <v>11</v>
      </c>
      <c r="D32" s="11">
        <f t="shared" si="6"/>
        <v>42899</v>
      </c>
      <c r="E32" s="7">
        <v>104509</v>
      </c>
      <c r="F32" s="7">
        <v>0</v>
      </c>
      <c r="G32" s="7">
        <f t="shared" si="4"/>
        <v>5225.4500000000007</v>
      </c>
      <c r="H32" s="7">
        <v>15</v>
      </c>
      <c r="I32" s="12">
        <f t="shared" si="5"/>
        <v>18.103627252208465</v>
      </c>
      <c r="J32" s="7">
        <f t="shared" si="0"/>
        <v>291</v>
      </c>
      <c r="K32" s="7">
        <f t="shared" si="7"/>
        <v>15084.100447282379</v>
      </c>
      <c r="L32" s="7">
        <f t="shared" si="8"/>
        <v>0</v>
      </c>
      <c r="M32" s="13">
        <f t="shared" si="9"/>
        <v>89424.899552717616</v>
      </c>
    </row>
    <row r="33" spans="1:13" x14ac:dyDescent="0.15">
      <c r="A33" s="10">
        <v>31</v>
      </c>
      <c r="B33" s="7" t="s">
        <v>11</v>
      </c>
      <c r="C33" s="7" t="s">
        <v>11</v>
      </c>
      <c r="D33" s="11">
        <f t="shared" si="6"/>
        <v>42904</v>
      </c>
      <c r="E33" s="7">
        <v>0</v>
      </c>
      <c r="F33" s="7">
        <v>90242</v>
      </c>
      <c r="G33" s="7">
        <f t="shared" si="4"/>
        <v>4512.1000000000004</v>
      </c>
      <c r="H33" s="7">
        <v>15</v>
      </c>
      <c r="I33" s="12">
        <f t="shared" si="5"/>
        <v>18.103627252208465</v>
      </c>
      <c r="J33" s="7">
        <f t="shared" si="0"/>
        <v>286</v>
      </c>
      <c r="K33" s="7">
        <f t="shared" si="7"/>
        <v>0</v>
      </c>
      <c r="L33" s="7">
        <f t="shared" si="8"/>
        <v>12801.105581403444</v>
      </c>
      <c r="M33" s="13">
        <f t="shared" si="9"/>
        <v>77440.894418596552</v>
      </c>
    </row>
    <row r="34" spans="1:13" x14ac:dyDescent="0.15">
      <c r="A34" s="10">
        <v>32</v>
      </c>
      <c r="B34" s="7" t="s">
        <v>11</v>
      </c>
      <c r="C34" s="7" t="s">
        <v>11</v>
      </c>
      <c r="D34" s="11">
        <f t="shared" si="6"/>
        <v>42909</v>
      </c>
      <c r="E34" s="7">
        <v>79608</v>
      </c>
      <c r="F34" s="7">
        <v>0</v>
      </c>
      <c r="G34" s="7">
        <f t="shared" si="4"/>
        <v>3980.4</v>
      </c>
      <c r="H34" s="7">
        <v>15</v>
      </c>
      <c r="I34" s="12">
        <f t="shared" si="5"/>
        <v>18.103627252208465</v>
      </c>
      <c r="J34" s="7">
        <f t="shared" si="0"/>
        <v>281</v>
      </c>
      <c r="K34" s="7">
        <f t="shared" si="7"/>
        <v>11095.216161111261</v>
      </c>
      <c r="L34" s="7">
        <f t="shared" si="8"/>
        <v>0</v>
      </c>
      <c r="M34" s="13">
        <f t="shared" si="9"/>
        <v>68512.783838888747</v>
      </c>
    </row>
    <row r="35" spans="1:13" x14ac:dyDescent="0.15">
      <c r="A35" s="10">
        <v>33</v>
      </c>
      <c r="B35" s="7" t="s">
        <v>11</v>
      </c>
      <c r="C35" s="7" t="s">
        <v>11</v>
      </c>
      <c r="D35" s="11">
        <f t="shared" si="6"/>
        <v>42914</v>
      </c>
      <c r="E35" s="7">
        <v>0</v>
      </c>
      <c r="F35" s="7">
        <v>3149</v>
      </c>
      <c r="G35" s="7">
        <f t="shared" si="4"/>
        <v>157.45000000000002</v>
      </c>
      <c r="H35" s="7">
        <v>15</v>
      </c>
      <c r="I35" s="12">
        <f t="shared" si="5"/>
        <v>18.103627252208465</v>
      </c>
      <c r="J35" s="7">
        <f t="shared" ref="J35:J66" si="10">$I$1-D35</f>
        <v>276</v>
      </c>
      <c r="K35" s="7">
        <f t="shared" si="7"/>
        <v>0</v>
      </c>
      <c r="L35" s="7">
        <f t="shared" si="8"/>
        <v>431.07662827255967</v>
      </c>
      <c r="M35" s="13">
        <f t="shared" si="9"/>
        <v>2717.9233717274401</v>
      </c>
    </row>
    <row r="36" spans="1:13" x14ac:dyDescent="0.15">
      <c r="A36" s="10">
        <v>34</v>
      </c>
      <c r="B36" s="7" t="s">
        <v>11</v>
      </c>
      <c r="C36" s="7" t="s">
        <v>11</v>
      </c>
      <c r="D36" s="11">
        <f t="shared" si="6"/>
        <v>42919</v>
      </c>
      <c r="E36" s="7">
        <v>1200</v>
      </c>
      <c r="F36" s="7">
        <v>0</v>
      </c>
      <c r="G36" s="7">
        <f t="shared" ref="G36:G67" si="11">(F36+E36)*5%</f>
        <v>60</v>
      </c>
      <c r="H36" s="7">
        <v>15</v>
      </c>
      <c r="I36" s="12">
        <f t="shared" ref="I36:I67" si="12">(1-(G36/(F36+E36))^(1/H36))*100</f>
        <v>18.103627252208465</v>
      </c>
      <c r="J36" s="7">
        <f t="shared" si="10"/>
        <v>271</v>
      </c>
      <c r="K36" s="7">
        <f t="shared" si="7"/>
        <v>161.29587897036143</v>
      </c>
      <c r="L36" s="7">
        <f t="shared" si="8"/>
        <v>0</v>
      </c>
      <c r="M36" s="13">
        <f t="shared" si="9"/>
        <v>1038.7041210296386</v>
      </c>
    </row>
    <row r="37" spans="1:13" x14ac:dyDescent="0.15">
      <c r="A37" s="10">
        <v>35</v>
      </c>
      <c r="B37" s="7" t="s">
        <v>11</v>
      </c>
      <c r="C37" s="7" t="s">
        <v>11</v>
      </c>
      <c r="D37" s="11">
        <f t="shared" si="6"/>
        <v>42924</v>
      </c>
      <c r="E37" s="7">
        <v>0</v>
      </c>
      <c r="F37" s="7">
        <v>14250</v>
      </c>
      <c r="G37" s="7">
        <f t="shared" si="11"/>
        <v>712.5</v>
      </c>
      <c r="H37" s="7">
        <v>15</v>
      </c>
      <c r="I37" s="12">
        <f t="shared" si="12"/>
        <v>18.103627252208465</v>
      </c>
      <c r="J37" s="7">
        <f t="shared" si="10"/>
        <v>266</v>
      </c>
      <c r="K37" s="7">
        <f t="shared" si="7"/>
        <v>0</v>
      </c>
      <c r="L37" s="7">
        <f t="shared" si="8"/>
        <v>1880.049290397156</v>
      </c>
      <c r="M37" s="13">
        <f t="shared" si="9"/>
        <v>12369.950709602845</v>
      </c>
    </row>
    <row r="38" spans="1:13" x14ac:dyDescent="0.15">
      <c r="A38" s="10">
        <v>36</v>
      </c>
      <c r="B38" s="7" t="s">
        <v>12</v>
      </c>
      <c r="C38" s="7" t="s">
        <v>12</v>
      </c>
      <c r="D38" s="11">
        <v>42829</v>
      </c>
      <c r="E38" s="7">
        <v>0</v>
      </c>
      <c r="F38" s="7">
        <v>255760</v>
      </c>
      <c r="G38" s="7">
        <f t="shared" si="11"/>
        <v>12788</v>
      </c>
      <c r="H38" s="7">
        <v>10</v>
      </c>
      <c r="I38" s="12">
        <f t="shared" si="12"/>
        <v>25.886555089305229</v>
      </c>
      <c r="J38" s="7">
        <f t="shared" si="10"/>
        <v>361</v>
      </c>
      <c r="K38" s="7">
        <f t="shared" si="7"/>
        <v>0</v>
      </c>
      <c r="L38" s="7">
        <f t="shared" si="8"/>
        <v>65481.892164391633</v>
      </c>
      <c r="M38" s="13">
        <f t="shared" si="9"/>
        <v>190278.10783560836</v>
      </c>
    </row>
    <row r="39" spans="1:13" x14ac:dyDescent="0.15">
      <c r="A39" s="10">
        <v>37</v>
      </c>
      <c r="B39" s="7" t="s">
        <v>12</v>
      </c>
      <c r="C39" s="7" t="s">
        <v>12</v>
      </c>
      <c r="D39" s="11">
        <f>D38+5</f>
        <v>42834</v>
      </c>
      <c r="E39" s="7">
        <v>98410</v>
      </c>
      <c r="F39" s="7">
        <v>0</v>
      </c>
      <c r="G39" s="7">
        <f t="shared" si="11"/>
        <v>4920.5</v>
      </c>
      <c r="H39" s="7">
        <v>10</v>
      </c>
      <c r="I39" s="12">
        <f t="shared" si="12"/>
        <v>25.886555089305229</v>
      </c>
      <c r="J39" s="7">
        <f t="shared" si="10"/>
        <v>356</v>
      </c>
      <c r="K39" s="7">
        <f t="shared" si="7"/>
        <v>24846.809192781257</v>
      </c>
      <c r="L39" s="7">
        <f t="shared" si="8"/>
        <v>0</v>
      </c>
      <c r="M39" s="13">
        <f t="shared" si="9"/>
        <v>73563.190807218751</v>
      </c>
    </row>
    <row r="40" spans="1:13" x14ac:dyDescent="0.15">
      <c r="A40" s="10">
        <v>38</v>
      </c>
      <c r="B40" s="7" t="s">
        <v>12</v>
      </c>
      <c r="C40" s="7" t="s">
        <v>12</v>
      </c>
      <c r="D40" s="11">
        <f t="shared" si="6"/>
        <v>42839</v>
      </c>
      <c r="E40" s="7">
        <v>75079</v>
      </c>
      <c r="F40" s="7">
        <v>0</v>
      </c>
      <c r="G40" s="7">
        <f t="shared" si="11"/>
        <v>3753.9500000000003</v>
      </c>
      <c r="H40" s="7">
        <v>10</v>
      </c>
      <c r="I40" s="12">
        <f t="shared" si="12"/>
        <v>25.886555089305229</v>
      </c>
      <c r="J40" s="7">
        <f t="shared" si="10"/>
        <v>351</v>
      </c>
      <c r="K40" s="7">
        <f t="shared" si="7"/>
        <v>18689.900575672094</v>
      </c>
      <c r="L40" s="7">
        <f t="shared" si="8"/>
        <v>0</v>
      </c>
      <c r="M40" s="13">
        <f t="shared" si="9"/>
        <v>56389.099424327906</v>
      </c>
    </row>
    <row r="41" spans="1:13" x14ac:dyDescent="0.15">
      <c r="A41" s="10">
        <v>39</v>
      </c>
      <c r="B41" s="7" t="s">
        <v>12</v>
      </c>
      <c r="C41" s="7" t="s">
        <v>12</v>
      </c>
      <c r="D41" s="11">
        <f t="shared" si="6"/>
        <v>42844</v>
      </c>
      <c r="E41" s="7">
        <v>85773</v>
      </c>
      <c r="F41" s="7">
        <v>0</v>
      </c>
      <c r="G41" s="7">
        <f t="shared" si="11"/>
        <v>4288.6500000000005</v>
      </c>
      <c r="H41" s="7">
        <v>10</v>
      </c>
      <c r="I41" s="12">
        <f t="shared" si="12"/>
        <v>25.886555089305229</v>
      </c>
      <c r="J41" s="7">
        <f t="shared" si="10"/>
        <v>346</v>
      </c>
      <c r="K41" s="7">
        <f t="shared" si="7"/>
        <v>21047.867162398416</v>
      </c>
      <c r="L41" s="7">
        <f t="shared" si="8"/>
        <v>0</v>
      </c>
      <c r="M41" s="13">
        <f t="shared" si="9"/>
        <v>64725.132837601588</v>
      </c>
    </row>
    <row r="42" spans="1:13" x14ac:dyDescent="0.15">
      <c r="A42" s="10">
        <v>40</v>
      </c>
      <c r="B42" s="7" t="s">
        <v>12</v>
      </c>
      <c r="C42" s="7" t="s">
        <v>12</v>
      </c>
      <c r="D42" s="11">
        <f t="shared" si="6"/>
        <v>42849</v>
      </c>
      <c r="E42" s="7">
        <v>0</v>
      </c>
      <c r="F42" s="7">
        <v>3113</v>
      </c>
      <c r="G42" s="7">
        <f t="shared" si="11"/>
        <v>155.65</v>
      </c>
      <c r="H42" s="7">
        <v>10</v>
      </c>
      <c r="I42" s="12">
        <f t="shared" si="12"/>
        <v>25.886555089305229</v>
      </c>
      <c r="J42" s="7">
        <f t="shared" si="10"/>
        <v>341</v>
      </c>
      <c r="K42" s="7">
        <f t="shared" si="7"/>
        <v>0</v>
      </c>
      <c r="L42" s="7">
        <f t="shared" si="8"/>
        <v>752.86116393466978</v>
      </c>
      <c r="M42" s="13">
        <f t="shared" si="9"/>
        <v>2360.13883606533</v>
      </c>
    </row>
    <row r="43" spans="1:13" x14ac:dyDescent="0.15">
      <c r="A43" s="10">
        <v>41</v>
      </c>
      <c r="B43" s="7" t="s">
        <v>12</v>
      </c>
      <c r="C43" s="7" t="s">
        <v>12</v>
      </c>
      <c r="D43" s="11">
        <f t="shared" si="6"/>
        <v>42854</v>
      </c>
      <c r="E43" s="7">
        <v>1200</v>
      </c>
      <c r="F43" s="7">
        <v>0</v>
      </c>
      <c r="G43" s="7">
        <f t="shared" si="11"/>
        <v>60</v>
      </c>
      <c r="H43" s="7">
        <v>10</v>
      </c>
      <c r="I43" s="12">
        <f t="shared" si="12"/>
        <v>25.886555089305229</v>
      </c>
      <c r="J43" s="7">
        <f t="shared" si="10"/>
        <v>336</v>
      </c>
      <c r="K43" s="7">
        <f t="shared" si="7"/>
        <v>285.95778115090047</v>
      </c>
      <c r="L43" s="7">
        <f t="shared" si="8"/>
        <v>0</v>
      </c>
      <c r="M43" s="13">
        <f t="shared" si="9"/>
        <v>914.04221884909953</v>
      </c>
    </row>
    <row r="44" spans="1:13" x14ac:dyDescent="0.15">
      <c r="A44" s="10">
        <v>42</v>
      </c>
      <c r="B44" s="7" t="s">
        <v>12</v>
      </c>
      <c r="C44" s="7" t="s">
        <v>12</v>
      </c>
      <c r="D44" s="11">
        <f t="shared" si="6"/>
        <v>42859</v>
      </c>
      <c r="E44" s="7">
        <v>0</v>
      </c>
      <c r="F44" s="7">
        <v>14250</v>
      </c>
      <c r="G44" s="7">
        <f t="shared" si="11"/>
        <v>712.5</v>
      </c>
      <c r="H44" s="7">
        <v>10</v>
      </c>
      <c r="I44" s="12">
        <f t="shared" si="12"/>
        <v>25.886555089305229</v>
      </c>
      <c r="J44" s="7">
        <f t="shared" si="10"/>
        <v>331</v>
      </c>
      <c r="K44" s="7">
        <f t="shared" si="7"/>
        <v>0</v>
      </c>
      <c r="L44" s="7">
        <f t="shared" si="8"/>
        <v>3345.2166771912448</v>
      </c>
      <c r="M44" s="13">
        <f t="shared" si="9"/>
        <v>10904.783322808755</v>
      </c>
    </row>
    <row r="45" spans="1:13" x14ac:dyDescent="0.15">
      <c r="A45" s="10">
        <v>43</v>
      </c>
      <c r="B45" s="7" t="s">
        <v>12</v>
      </c>
      <c r="C45" s="7" t="s">
        <v>12</v>
      </c>
      <c r="D45" s="11">
        <f t="shared" si="6"/>
        <v>42864</v>
      </c>
      <c r="E45" s="7">
        <v>0</v>
      </c>
      <c r="F45" s="7">
        <v>240699</v>
      </c>
      <c r="G45" s="7">
        <f t="shared" si="11"/>
        <v>12034.95</v>
      </c>
      <c r="H45" s="7">
        <v>10</v>
      </c>
      <c r="I45" s="12">
        <f t="shared" si="12"/>
        <v>25.886555089305229</v>
      </c>
      <c r="J45" s="7">
        <f t="shared" si="10"/>
        <v>326</v>
      </c>
      <c r="K45" s="7">
        <f t="shared" si="7"/>
        <v>0</v>
      </c>
      <c r="L45" s="7">
        <f t="shared" si="8"/>
        <v>55651.039535387987</v>
      </c>
      <c r="M45" s="13">
        <f t="shared" si="9"/>
        <v>185047.960464612</v>
      </c>
    </row>
    <row r="46" spans="1:13" x14ac:dyDescent="0.15">
      <c r="A46" s="10">
        <v>44</v>
      </c>
      <c r="B46" s="7" t="s">
        <v>12</v>
      </c>
      <c r="C46" s="7" t="s">
        <v>12</v>
      </c>
      <c r="D46" s="11">
        <f t="shared" si="6"/>
        <v>42869</v>
      </c>
      <c r="E46" s="7">
        <v>0</v>
      </c>
      <c r="F46" s="7">
        <v>109458</v>
      </c>
      <c r="G46" s="7">
        <f t="shared" si="11"/>
        <v>5472.9000000000005</v>
      </c>
      <c r="H46" s="7">
        <v>10</v>
      </c>
      <c r="I46" s="12">
        <f t="shared" si="12"/>
        <v>25.886555089305229</v>
      </c>
      <c r="J46" s="7">
        <f t="shared" si="10"/>
        <v>321</v>
      </c>
      <c r="K46" s="7">
        <f t="shared" si="7"/>
        <v>0</v>
      </c>
      <c r="L46" s="7">
        <f t="shared" si="8"/>
        <v>24919.190837693703</v>
      </c>
      <c r="M46" s="13">
        <f t="shared" si="9"/>
        <v>84538.809162306294</v>
      </c>
    </row>
    <row r="47" spans="1:13" x14ac:dyDescent="0.15">
      <c r="A47" s="10">
        <v>45</v>
      </c>
      <c r="B47" s="7" t="s">
        <v>12</v>
      </c>
      <c r="C47" s="7" t="s">
        <v>12</v>
      </c>
      <c r="D47" s="11">
        <f t="shared" si="6"/>
        <v>42874</v>
      </c>
      <c r="E47" s="7">
        <v>0</v>
      </c>
      <c r="F47" s="7">
        <v>91823</v>
      </c>
      <c r="G47" s="7">
        <f t="shared" si="11"/>
        <v>4591.1500000000005</v>
      </c>
      <c r="H47" s="7">
        <v>10</v>
      </c>
      <c r="I47" s="12">
        <f t="shared" si="12"/>
        <v>25.886555089305229</v>
      </c>
      <c r="J47" s="7">
        <f t="shared" si="10"/>
        <v>316</v>
      </c>
      <c r="K47" s="7">
        <f t="shared" si="7"/>
        <v>0</v>
      </c>
      <c r="L47" s="7">
        <f t="shared" si="8"/>
        <v>20578.79569197333</v>
      </c>
      <c r="M47" s="13">
        <f t="shared" si="9"/>
        <v>71244.204308026674</v>
      </c>
    </row>
    <row r="48" spans="1:13" x14ac:dyDescent="0.15">
      <c r="A48" s="10">
        <v>46</v>
      </c>
      <c r="B48" s="7" t="s">
        <v>12</v>
      </c>
      <c r="C48" s="7" t="s">
        <v>12</v>
      </c>
      <c r="D48" s="11">
        <f t="shared" si="6"/>
        <v>42879</v>
      </c>
      <c r="E48" s="7">
        <v>0</v>
      </c>
      <c r="F48" s="7">
        <v>82407</v>
      </c>
      <c r="G48" s="7">
        <f t="shared" si="11"/>
        <v>4120.3500000000004</v>
      </c>
      <c r="H48" s="7">
        <v>10</v>
      </c>
      <c r="I48" s="12">
        <f t="shared" si="12"/>
        <v>25.886555089305229</v>
      </c>
      <c r="J48" s="7">
        <f t="shared" si="10"/>
        <v>311</v>
      </c>
      <c r="K48" s="7">
        <f t="shared" si="7"/>
        <v>0</v>
      </c>
      <c r="L48" s="7">
        <f t="shared" si="8"/>
        <v>18176.316996465779</v>
      </c>
      <c r="M48" s="13">
        <f t="shared" si="9"/>
        <v>64230.683003534221</v>
      </c>
    </row>
    <row r="49" spans="1:13" x14ac:dyDescent="0.15">
      <c r="A49" s="10">
        <v>47</v>
      </c>
      <c r="B49" s="7" t="s">
        <v>12</v>
      </c>
      <c r="C49" s="7" t="s">
        <v>12</v>
      </c>
      <c r="D49" s="11">
        <f t="shared" si="6"/>
        <v>42884</v>
      </c>
      <c r="E49" s="7">
        <v>3899</v>
      </c>
      <c r="F49" s="7">
        <v>0</v>
      </c>
      <c r="G49" s="7">
        <f t="shared" si="11"/>
        <v>194.95000000000002</v>
      </c>
      <c r="H49" s="7">
        <v>10</v>
      </c>
      <c r="I49" s="12">
        <f t="shared" si="12"/>
        <v>25.886555089305229</v>
      </c>
      <c r="J49" s="7">
        <f t="shared" si="10"/>
        <v>306</v>
      </c>
      <c r="K49" s="7">
        <f t="shared" si="7"/>
        <v>846.16694678683666</v>
      </c>
      <c r="L49" s="7">
        <f t="shared" si="8"/>
        <v>0</v>
      </c>
      <c r="M49" s="13">
        <f t="shared" si="9"/>
        <v>3052.8330532131631</v>
      </c>
    </row>
    <row r="50" spans="1:13" x14ac:dyDescent="0.15">
      <c r="A50" s="10">
        <v>48</v>
      </c>
      <c r="B50" s="7" t="s">
        <v>12</v>
      </c>
      <c r="C50" s="7" t="s">
        <v>12</v>
      </c>
      <c r="D50" s="11">
        <f t="shared" si="6"/>
        <v>42889</v>
      </c>
      <c r="E50" s="7">
        <v>0</v>
      </c>
      <c r="F50" s="7">
        <v>1400</v>
      </c>
      <c r="G50" s="7">
        <f t="shared" si="11"/>
        <v>70</v>
      </c>
      <c r="H50" s="7">
        <v>10</v>
      </c>
      <c r="I50" s="12">
        <f t="shared" si="12"/>
        <v>25.886555089305229</v>
      </c>
      <c r="J50" s="7">
        <f t="shared" si="10"/>
        <v>301</v>
      </c>
      <c r="K50" s="7">
        <f t="shared" si="7"/>
        <v>0</v>
      </c>
      <c r="L50" s="7">
        <f t="shared" si="8"/>
        <v>298.86559766118421</v>
      </c>
      <c r="M50" s="13">
        <f t="shared" si="9"/>
        <v>1101.1344023388158</v>
      </c>
    </row>
    <row r="51" spans="1:13" x14ac:dyDescent="0.15">
      <c r="A51" s="10">
        <v>49</v>
      </c>
      <c r="B51" s="7" t="s">
        <v>12</v>
      </c>
      <c r="C51" s="7" t="s">
        <v>12</v>
      </c>
      <c r="D51" s="11">
        <f t="shared" si="6"/>
        <v>42894</v>
      </c>
      <c r="E51" s="7">
        <v>0</v>
      </c>
      <c r="F51" s="7">
        <v>14250</v>
      </c>
      <c r="G51" s="7">
        <f t="shared" si="11"/>
        <v>712.5</v>
      </c>
      <c r="H51" s="7">
        <v>10</v>
      </c>
      <c r="I51" s="12">
        <f t="shared" si="12"/>
        <v>25.886555089305229</v>
      </c>
      <c r="J51" s="7">
        <f t="shared" si="10"/>
        <v>296</v>
      </c>
      <c r="K51" s="7">
        <f t="shared" si="7"/>
        <v>0</v>
      </c>
      <c r="L51" s="7">
        <f t="shared" si="8"/>
        <v>2991.4928593613554</v>
      </c>
      <c r="M51" s="13">
        <f t="shared" si="9"/>
        <v>11258.507140638645</v>
      </c>
    </row>
    <row r="52" spans="1:13" x14ac:dyDescent="0.15">
      <c r="A52" s="10">
        <v>50</v>
      </c>
      <c r="B52" s="7" t="s">
        <v>12</v>
      </c>
      <c r="C52" s="7" t="s">
        <v>12</v>
      </c>
      <c r="D52" s="11">
        <f t="shared" si="6"/>
        <v>42899</v>
      </c>
      <c r="E52" s="7">
        <v>0</v>
      </c>
      <c r="F52" s="7">
        <v>264139</v>
      </c>
      <c r="G52" s="7">
        <f t="shared" si="11"/>
        <v>13206.95</v>
      </c>
      <c r="H52" s="7">
        <v>10</v>
      </c>
      <c r="I52" s="12">
        <f t="shared" si="12"/>
        <v>25.886555089305229</v>
      </c>
      <c r="J52" s="7">
        <f t="shared" si="10"/>
        <v>291</v>
      </c>
      <c r="K52" s="7">
        <f t="shared" si="7"/>
        <v>0</v>
      </c>
      <c r="L52" s="7">
        <f t="shared" si="8"/>
        <v>54513.857354728549</v>
      </c>
      <c r="M52" s="13">
        <f t="shared" si="9"/>
        <v>209625.14264527144</v>
      </c>
    </row>
    <row r="53" spans="1:13" x14ac:dyDescent="0.15">
      <c r="A53" s="10">
        <v>51</v>
      </c>
      <c r="B53" s="7" t="s">
        <v>12</v>
      </c>
      <c r="C53" s="7" t="s">
        <v>12</v>
      </c>
      <c r="D53" s="11">
        <f t="shared" si="6"/>
        <v>42904</v>
      </c>
      <c r="E53" s="7">
        <v>0</v>
      </c>
      <c r="F53" s="7">
        <v>112581</v>
      </c>
      <c r="G53" s="7">
        <f t="shared" si="11"/>
        <v>5629.05</v>
      </c>
      <c r="H53" s="7">
        <v>10</v>
      </c>
      <c r="I53" s="12">
        <f t="shared" si="12"/>
        <v>25.886555089305229</v>
      </c>
      <c r="J53" s="7">
        <f t="shared" si="10"/>
        <v>286</v>
      </c>
      <c r="K53" s="7">
        <f t="shared" si="7"/>
        <v>0</v>
      </c>
      <c r="L53" s="7">
        <f t="shared" si="8"/>
        <v>22835.605422838209</v>
      </c>
      <c r="M53" s="13">
        <f t="shared" si="9"/>
        <v>89745.394577161787</v>
      </c>
    </row>
    <row r="54" spans="1:13" x14ac:dyDescent="0.15">
      <c r="A54" s="10">
        <v>52</v>
      </c>
      <c r="B54" s="7" t="s">
        <v>12</v>
      </c>
      <c r="C54" s="7" t="s">
        <v>12</v>
      </c>
      <c r="D54" s="11">
        <f t="shared" si="6"/>
        <v>42909</v>
      </c>
      <c r="E54" s="7">
        <v>0</v>
      </c>
      <c r="F54" s="7">
        <v>93525</v>
      </c>
      <c r="G54" s="7">
        <f t="shared" si="11"/>
        <v>4676.25</v>
      </c>
      <c r="H54" s="7">
        <v>10</v>
      </c>
      <c r="I54" s="12">
        <f t="shared" si="12"/>
        <v>25.886555089305229</v>
      </c>
      <c r="J54" s="7">
        <f t="shared" si="10"/>
        <v>281</v>
      </c>
      <c r="K54" s="7">
        <f t="shared" si="7"/>
        <v>0</v>
      </c>
      <c r="L54" s="7">
        <f t="shared" si="8"/>
        <v>18638.692005160639</v>
      </c>
      <c r="M54" s="13">
        <f t="shared" si="9"/>
        <v>74886.307994839357</v>
      </c>
    </row>
    <row r="55" spans="1:13" x14ac:dyDescent="0.15">
      <c r="A55" s="10">
        <v>53</v>
      </c>
      <c r="B55" s="7" t="s">
        <v>12</v>
      </c>
      <c r="C55" s="7" t="s">
        <v>12</v>
      </c>
      <c r="D55" s="11">
        <f t="shared" si="6"/>
        <v>42914</v>
      </c>
      <c r="E55" s="7">
        <v>0</v>
      </c>
      <c r="F55" s="7">
        <v>84474</v>
      </c>
      <c r="G55" s="7">
        <f t="shared" si="11"/>
        <v>4223.7</v>
      </c>
      <c r="H55" s="7">
        <v>10</v>
      </c>
      <c r="I55" s="12">
        <f t="shared" si="12"/>
        <v>25.886555089305229</v>
      </c>
      <c r="J55" s="7">
        <f t="shared" si="10"/>
        <v>276</v>
      </c>
      <c r="K55" s="7">
        <f t="shared" si="7"/>
        <v>0</v>
      </c>
      <c r="L55" s="7">
        <f t="shared" si="8"/>
        <v>16535.35550338235</v>
      </c>
      <c r="M55" s="13">
        <f t="shared" si="9"/>
        <v>67938.64449661765</v>
      </c>
    </row>
    <row r="56" spans="1:13" x14ac:dyDescent="0.15">
      <c r="A56" s="10">
        <v>54</v>
      </c>
      <c r="B56" s="7" t="s">
        <v>12</v>
      </c>
      <c r="C56" s="7" t="s">
        <v>12</v>
      </c>
      <c r="D56" s="11">
        <f t="shared" si="6"/>
        <v>42919</v>
      </c>
      <c r="E56" s="7">
        <v>0</v>
      </c>
      <c r="F56" s="7">
        <v>4118</v>
      </c>
      <c r="G56" s="7">
        <f t="shared" si="11"/>
        <v>205.9</v>
      </c>
      <c r="H56" s="7">
        <v>10</v>
      </c>
      <c r="I56" s="12">
        <f t="shared" si="12"/>
        <v>25.886555089305229</v>
      </c>
      <c r="J56" s="7">
        <f t="shared" si="10"/>
        <v>271</v>
      </c>
      <c r="K56" s="7">
        <f t="shared" si="7"/>
        <v>0</v>
      </c>
      <c r="L56" s="7">
        <f t="shared" si="8"/>
        <v>791.47468425897716</v>
      </c>
      <c r="M56" s="13">
        <f t="shared" si="9"/>
        <v>3326.525315741023</v>
      </c>
    </row>
    <row r="57" spans="1:13" x14ac:dyDescent="0.15">
      <c r="A57" s="10">
        <v>55</v>
      </c>
      <c r="B57" s="7" t="s">
        <v>13</v>
      </c>
      <c r="C57" s="7" t="s">
        <v>13</v>
      </c>
      <c r="D57" s="11">
        <v>42982</v>
      </c>
      <c r="E57" s="7">
        <v>0</v>
      </c>
      <c r="F57" s="7">
        <v>1400</v>
      </c>
      <c r="G57" s="7">
        <f t="shared" si="11"/>
        <v>70</v>
      </c>
      <c r="H57" s="7">
        <v>10</v>
      </c>
      <c r="I57" s="12">
        <f t="shared" si="12"/>
        <v>25.886555089305229</v>
      </c>
      <c r="J57" s="7">
        <f t="shared" si="10"/>
        <v>208</v>
      </c>
      <c r="K57" s="7">
        <f t="shared" si="7"/>
        <v>0</v>
      </c>
      <c r="L57" s="7">
        <f t="shared" si="8"/>
        <v>206.52506416453923</v>
      </c>
      <c r="M57" s="13">
        <f t="shared" si="9"/>
        <v>1193.4749358354607</v>
      </c>
    </row>
    <row r="58" spans="1:13" x14ac:dyDescent="0.15">
      <c r="A58" s="10">
        <v>56</v>
      </c>
      <c r="B58" s="7" t="s">
        <v>13</v>
      </c>
      <c r="C58" s="7" t="s">
        <v>13</v>
      </c>
      <c r="D58" s="11">
        <f>D57+5</f>
        <v>42987</v>
      </c>
      <c r="E58" s="7">
        <v>0</v>
      </c>
      <c r="F58" s="7">
        <v>14250</v>
      </c>
      <c r="G58" s="7">
        <f t="shared" si="11"/>
        <v>712.5</v>
      </c>
      <c r="H58" s="7">
        <v>10</v>
      </c>
      <c r="I58" s="12">
        <f t="shared" si="12"/>
        <v>25.886555089305229</v>
      </c>
      <c r="J58" s="7">
        <f t="shared" si="10"/>
        <v>203</v>
      </c>
      <c r="K58" s="7">
        <f t="shared" si="7"/>
        <v>0</v>
      </c>
      <c r="L58" s="7">
        <f t="shared" si="8"/>
        <v>2051.5981434133619</v>
      </c>
      <c r="M58" s="13">
        <f t="shared" si="9"/>
        <v>12198.401856586639</v>
      </c>
    </row>
    <row r="59" spans="1:13" x14ac:dyDescent="0.15">
      <c r="A59" s="10">
        <v>57</v>
      </c>
      <c r="B59" s="7" t="s">
        <v>13</v>
      </c>
      <c r="C59" s="7" t="s">
        <v>13</v>
      </c>
      <c r="D59" s="11">
        <f t="shared" si="6"/>
        <v>42992</v>
      </c>
      <c r="E59" s="7">
        <v>0</v>
      </c>
      <c r="F59" s="7">
        <v>270812</v>
      </c>
      <c r="G59" s="7">
        <f t="shared" si="11"/>
        <v>13540.6</v>
      </c>
      <c r="H59" s="7">
        <v>10</v>
      </c>
      <c r="I59" s="12">
        <f t="shared" si="12"/>
        <v>25.886555089305229</v>
      </c>
      <c r="J59" s="7">
        <f t="shared" si="10"/>
        <v>198</v>
      </c>
      <c r="K59" s="7">
        <f t="shared" si="7"/>
        <v>0</v>
      </c>
      <c r="L59" s="7">
        <f t="shared" si="8"/>
        <v>38028.963612473854</v>
      </c>
      <c r="M59" s="13">
        <f t="shared" si="9"/>
        <v>232783.03638752614</v>
      </c>
    </row>
    <row r="60" spans="1:13" x14ac:dyDescent="0.15">
      <c r="A60" s="10">
        <v>58</v>
      </c>
      <c r="B60" s="7" t="s">
        <v>13</v>
      </c>
      <c r="C60" s="7" t="s">
        <v>13</v>
      </c>
      <c r="D60" s="11">
        <f t="shared" si="6"/>
        <v>42997</v>
      </c>
      <c r="E60" s="7">
        <v>0</v>
      </c>
      <c r="F60" s="7">
        <v>107212</v>
      </c>
      <c r="G60" s="7">
        <f t="shared" si="11"/>
        <v>5360.6</v>
      </c>
      <c r="H60" s="7">
        <v>10</v>
      </c>
      <c r="I60" s="12">
        <f t="shared" si="12"/>
        <v>25.886555089305229</v>
      </c>
      <c r="J60" s="7">
        <f t="shared" si="10"/>
        <v>193</v>
      </c>
      <c r="K60" s="7">
        <f t="shared" si="7"/>
        <v>0</v>
      </c>
      <c r="L60" s="7">
        <f t="shared" si="8"/>
        <v>14675.134888692501</v>
      </c>
      <c r="M60" s="13">
        <f t="shared" si="9"/>
        <v>92536.865111307503</v>
      </c>
    </row>
    <row r="61" spans="1:13" x14ac:dyDescent="0.15">
      <c r="A61" s="10">
        <v>59</v>
      </c>
      <c r="B61" s="7" t="s">
        <v>13</v>
      </c>
      <c r="C61" s="7" t="s">
        <v>13</v>
      </c>
      <c r="D61" s="11">
        <f t="shared" si="6"/>
        <v>43002</v>
      </c>
      <c r="E61" s="7">
        <v>0</v>
      </c>
      <c r="F61" s="7">
        <v>92077</v>
      </c>
      <c r="G61" s="7">
        <f t="shared" si="11"/>
        <v>4603.8500000000004</v>
      </c>
      <c r="H61" s="7">
        <v>10</v>
      </c>
      <c r="I61" s="12">
        <f t="shared" si="12"/>
        <v>25.886555089305229</v>
      </c>
      <c r="J61" s="7">
        <f t="shared" si="10"/>
        <v>188</v>
      </c>
      <c r="K61" s="7">
        <f t="shared" si="7"/>
        <v>0</v>
      </c>
      <c r="L61" s="7">
        <f t="shared" si="8"/>
        <v>12276.947687564274</v>
      </c>
      <c r="M61" s="13">
        <f t="shared" si="9"/>
        <v>79800.052312435728</v>
      </c>
    </row>
    <row r="62" spans="1:13" x14ac:dyDescent="0.15">
      <c r="A62" s="10">
        <v>60</v>
      </c>
      <c r="B62" s="7" t="s">
        <v>13</v>
      </c>
      <c r="C62" s="7" t="s">
        <v>13</v>
      </c>
      <c r="D62" s="11">
        <f t="shared" si="6"/>
        <v>43007</v>
      </c>
      <c r="E62" s="7">
        <v>0</v>
      </c>
      <c r="F62" s="7">
        <v>81553</v>
      </c>
      <c r="G62" s="7">
        <f t="shared" si="11"/>
        <v>4077.65</v>
      </c>
      <c r="H62" s="7">
        <v>10</v>
      </c>
      <c r="I62" s="12">
        <f t="shared" si="12"/>
        <v>25.886555089305229</v>
      </c>
      <c r="J62" s="7">
        <f t="shared" si="10"/>
        <v>183</v>
      </c>
      <c r="K62" s="7">
        <f t="shared" si="7"/>
        <v>0</v>
      </c>
      <c r="L62" s="7">
        <f t="shared" si="8"/>
        <v>10584.550673349426</v>
      </c>
      <c r="M62" s="13">
        <f t="shared" si="9"/>
        <v>70968.449326650574</v>
      </c>
    </row>
    <row r="63" spans="1:13" x14ac:dyDescent="0.15">
      <c r="A63" s="10">
        <v>61</v>
      </c>
      <c r="B63" s="7" t="s">
        <v>13</v>
      </c>
      <c r="C63" s="7" t="s">
        <v>13</v>
      </c>
      <c r="D63" s="11">
        <f t="shared" si="6"/>
        <v>43012</v>
      </c>
      <c r="E63" s="7">
        <v>0</v>
      </c>
      <c r="F63" s="7">
        <v>3474</v>
      </c>
      <c r="G63" s="7">
        <f t="shared" si="11"/>
        <v>173.70000000000002</v>
      </c>
      <c r="H63" s="7">
        <v>10</v>
      </c>
      <c r="I63" s="12">
        <f t="shared" si="12"/>
        <v>25.886555089305229</v>
      </c>
      <c r="J63" s="7">
        <f t="shared" si="10"/>
        <v>178</v>
      </c>
      <c r="K63" s="7">
        <f t="shared" si="7"/>
        <v>0</v>
      </c>
      <c r="L63" s="7">
        <f t="shared" si="8"/>
        <v>438.56221489544811</v>
      </c>
      <c r="M63" s="13">
        <f t="shared" si="9"/>
        <v>3035.4377851045519</v>
      </c>
    </row>
    <row r="64" spans="1:13" x14ac:dyDescent="0.15">
      <c r="A64" s="10">
        <v>62</v>
      </c>
      <c r="B64" s="7" t="s">
        <v>13</v>
      </c>
      <c r="C64" s="7" t="s">
        <v>13</v>
      </c>
      <c r="D64" s="11">
        <f t="shared" si="6"/>
        <v>43017</v>
      </c>
      <c r="E64" s="7">
        <v>1200</v>
      </c>
      <c r="F64" s="7">
        <v>0</v>
      </c>
      <c r="G64" s="7">
        <f t="shared" si="11"/>
        <v>60</v>
      </c>
      <c r="H64" s="7">
        <v>10</v>
      </c>
      <c r="I64" s="12">
        <f t="shared" si="12"/>
        <v>25.886555089305229</v>
      </c>
      <c r="J64" s="7">
        <f t="shared" si="10"/>
        <v>173</v>
      </c>
      <c r="K64" s="7">
        <f t="shared" si="7"/>
        <v>147.23421469971959</v>
      </c>
      <c r="L64" s="7">
        <f t="shared" si="8"/>
        <v>0</v>
      </c>
      <c r="M64" s="13">
        <f t="shared" si="9"/>
        <v>1052.7657853002804</v>
      </c>
    </row>
    <row r="65" spans="1:13" x14ac:dyDescent="0.15">
      <c r="A65" s="10">
        <v>63</v>
      </c>
      <c r="B65" s="7" t="s">
        <v>13</v>
      </c>
      <c r="C65" s="7" t="s">
        <v>13</v>
      </c>
      <c r="D65" s="11">
        <f t="shared" si="6"/>
        <v>43022</v>
      </c>
      <c r="E65" s="7">
        <v>0</v>
      </c>
      <c r="F65" s="7">
        <v>14250</v>
      </c>
      <c r="G65" s="7">
        <f t="shared" si="11"/>
        <v>712.5</v>
      </c>
      <c r="H65" s="7">
        <v>10</v>
      </c>
      <c r="I65" s="12">
        <f t="shared" si="12"/>
        <v>25.886555089305229</v>
      </c>
      <c r="J65" s="7">
        <f t="shared" si="10"/>
        <v>168</v>
      </c>
      <c r="K65" s="7">
        <f t="shared" si="7"/>
        <v>0</v>
      </c>
      <c r="L65" s="7">
        <f t="shared" si="8"/>
        <v>1697.8743255834718</v>
      </c>
      <c r="M65" s="13">
        <f t="shared" si="9"/>
        <v>12552.125674416528</v>
      </c>
    </row>
    <row r="66" spans="1:13" x14ac:dyDescent="0.15">
      <c r="A66" s="10">
        <v>64</v>
      </c>
      <c r="B66" s="7" t="s">
        <v>13</v>
      </c>
      <c r="C66" s="7" t="s">
        <v>13</v>
      </c>
      <c r="D66" s="11">
        <f t="shared" si="6"/>
        <v>43027</v>
      </c>
      <c r="E66" s="7">
        <v>0</v>
      </c>
      <c r="F66" s="7">
        <v>261918</v>
      </c>
      <c r="G66" s="7">
        <f t="shared" si="11"/>
        <v>13095.900000000001</v>
      </c>
      <c r="H66" s="7">
        <v>10</v>
      </c>
      <c r="I66" s="12">
        <f t="shared" si="12"/>
        <v>25.886555089305229</v>
      </c>
      <c r="J66" s="7">
        <f t="shared" si="10"/>
        <v>163</v>
      </c>
      <c r="K66" s="7">
        <f t="shared" si="7"/>
        <v>0</v>
      </c>
      <c r="L66" s="7">
        <f t="shared" si="8"/>
        <v>30278.499231467002</v>
      </c>
      <c r="M66" s="13">
        <f t="shared" si="9"/>
        <v>231639.50076853301</v>
      </c>
    </row>
    <row r="67" spans="1:13" x14ac:dyDescent="0.15">
      <c r="A67" s="10">
        <v>65</v>
      </c>
      <c r="B67" s="7" t="s">
        <v>13</v>
      </c>
      <c r="C67" s="7" t="s">
        <v>13</v>
      </c>
      <c r="D67" s="11">
        <f t="shared" si="6"/>
        <v>43032</v>
      </c>
      <c r="E67" s="7">
        <v>0</v>
      </c>
      <c r="F67" s="7">
        <v>520047</v>
      </c>
      <c r="G67" s="7">
        <f t="shared" si="11"/>
        <v>26002.350000000002</v>
      </c>
      <c r="H67" s="7">
        <v>10</v>
      </c>
      <c r="I67" s="12">
        <f t="shared" si="12"/>
        <v>25.886555089305229</v>
      </c>
      <c r="J67" s="7">
        <f t="shared" ref="J67:J98" si="13">$I$1-D67</f>
        <v>158</v>
      </c>
      <c r="K67" s="7">
        <f t="shared" si="7"/>
        <v>0</v>
      </c>
      <c r="L67" s="7">
        <f t="shared" si="8"/>
        <v>58274.838347819466</v>
      </c>
      <c r="M67" s="13">
        <f t="shared" si="9"/>
        <v>461772.16165218054</v>
      </c>
    </row>
    <row r="68" spans="1:13" x14ac:dyDescent="0.15">
      <c r="A68" s="10">
        <v>66</v>
      </c>
      <c r="B68" s="7" t="s">
        <v>13</v>
      </c>
      <c r="C68" s="7" t="s">
        <v>13</v>
      </c>
      <c r="D68" s="11">
        <f t="shared" si="6"/>
        <v>43037</v>
      </c>
      <c r="E68" s="7">
        <v>1253959.5</v>
      </c>
      <c r="F68" s="7">
        <v>0</v>
      </c>
      <c r="G68" s="7">
        <f t="shared" ref="G68:G99" si="14">(F68+E68)*5%</f>
        <v>62697.975000000006</v>
      </c>
      <c r="H68" s="7">
        <v>10</v>
      </c>
      <c r="I68" s="12">
        <f t="shared" ref="I68:I99" si="15">(1-(G68/(F68+E68))^(1/H68))*100</f>
        <v>25.886555089305229</v>
      </c>
      <c r="J68" s="7">
        <f t="shared" si="13"/>
        <v>153</v>
      </c>
      <c r="K68" s="7">
        <f t="shared" si="7"/>
        <v>136068.10483577175</v>
      </c>
      <c r="L68" s="7">
        <f t="shared" si="8"/>
        <v>0</v>
      </c>
      <c r="M68" s="13">
        <f t="shared" si="9"/>
        <v>1117891.3951642283</v>
      </c>
    </row>
    <row r="69" spans="1:13" x14ac:dyDescent="0.15">
      <c r="A69" s="10">
        <v>67</v>
      </c>
      <c r="B69" s="7" t="s">
        <v>13</v>
      </c>
      <c r="C69" s="7" t="s">
        <v>13</v>
      </c>
      <c r="D69" s="11">
        <f t="shared" ref="D69:D71" si="16">D68+5</f>
        <v>43042</v>
      </c>
      <c r="E69" s="7">
        <v>0</v>
      </c>
      <c r="F69" s="7">
        <v>103758</v>
      </c>
      <c r="G69" s="7">
        <f t="shared" si="14"/>
        <v>5187.9000000000005</v>
      </c>
      <c r="H69" s="7">
        <v>10</v>
      </c>
      <c r="I69" s="12">
        <f t="shared" si="15"/>
        <v>25.886555089305229</v>
      </c>
      <c r="J69" s="7">
        <f t="shared" si="13"/>
        <v>148</v>
      </c>
      <c r="K69" s="7">
        <f t="shared" ref="K69:K132" si="17">(E69)*I69%*J69/$J$1</f>
        <v>0</v>
      </c>
      <c r="L69" s="7">
        <f t="shared" ref="L69:L132" si="18">(F69)*I69%*J69/$J$1</f>
        <v>10890.92337198651</v>
      </c>
      <c r="M69" s="13">
        <f t="shared" ref="M69:M132" si="19">F69+E69-L69-K69</f>
        <v>92867.076628013485</v>
      </c>
    </row>
    <row r="70" spans="1:13" x14ac:dyDescent="0.15">
      <c r="A70" s="10">
        <v>68</v>
      </c>
      <c r="B70" s="7" t="s">
        <v>13</v>
      </c>
      <c r="C70" s="7" t="s">
        <v>13</v>
      </c>
      <c r="D70" s="11">
        <f t="shared" si="16"/>
        <v>43047</v>
      </c>
      <c r="E70" s="7">
        <v>90990</v>
      </c>
      <c r="F70" s="7">
        <v>0</v>
      </c>
      <c r="G70" s="7">
        <f t="shared" si="14"/>
        <v>4549.5</v>
      </c>
      <c r="H70" s="7">
        <v>10</v>
      </c>
      <c r="I70" s="12">
        <f t="shared" si="15"/>
        <v>25.886555089305229</v>
      </c>
      <c r="J70" s="7">
        <f t="shared" si="13"/>
        <v>143</v>
      </c>
      <c r="K70" s="7">
        <f t="shared" si="17"/>
        <v>9228.0746192698971</v>
      </c>
      <c r="L70" s="7">
        <f t="shared" si="18"/>
        <v>0</v>
      </c>
      <c r="M70" s="13">
        <f t="shared" si="19"/>
        <v>81761.925380730099</v>
      </c>
    </row>
    <row r="71" spans="1:13" x14ac:dyDescent="0.15">
      <c r="A71" s="10">
        <v>69</v>
      </c>
      <c r="B71" s="7" t="s">
        <v>13</v>
      </c>
      <c r="C71" s="7" t="s">
        <v>13</v>
      </c>
      <c r="D71" s="11">
        <f t="shared" si="16"/>
        <v>43052</v>
      </c>
      <c r="E71" s="7">
        <v>0</v>
      </c>
      <c r="F71" s="7">
        <v>79606</v>
      </c>
      <c r="G71" s="7">
        <f t="shared" si="14"/>
        <v>3980.3</v>
      </c>
      <c r="H71" s="7">
        <v>10</v>
      </c>
      <c r="I71" s="12">
        <f t="shared" si="15"/>
        <v>25.886555089305229</v>
      </c>
      <c r="J71" s="7">
        <f t="shared" si="13"/>
        <v>138</v>
      </c>
      <c r="K71" s="7">
        <f t="shared" si="17"/>
        <v>0</v>
      </c>
      <c r="L71" s="7">
        <f t="shared" si="18"/>
        <v>7791.2346414414797</v>
      </c>
      <c r="M71" s="13">
        <f t="shared" si="19"/>
        <v>71814.765358558521</v>
      </c>
    </row>
    <row r="72" spans="1:13" x14ac:dyDescent="0.15">
      <c r="A72" s="10">
        <v>70</v>
      </c>
      <c r="B72" s="7" t="s">
        <v>13</v>
      </c>
      <c r="C72" s="7" t="s">
        <v>13</v>
      </c>
      <c r="D72" s="11">
        <f t="shared" ref="D72:D132" si="20">D71+5</f>
        <v>43057</v>
      </c>
      <c r="E72" s="7">
        <v>0</v>
      </c>
      <c r="F72" s="7">
        <v>3306</v>
      </c>
      <c r="G72" s="7">
        <f t="shared" si="14"/>
        <v>165.3</v>
      </c>
      <c r="H72" s="7">
        <v>10</v>
      </c>
      <c r="I72" s="12">
        <f t="shared" si="15"/>
        <v>25.886555089305229</v>
      </c>
      <c r="J72" s="7">
        <f t="shared" si="13"/>
        <v>133</v>
      </c>
      <c r="K72" s="7">
        <f t="shared" si="17"/>
        <v>0</v>
      </c>
      <c r="L72" s="7">
        <f t="shared" si="18"/>
        <v>311.84291779883097</v>
      </c>
      <c r="M72" s="13">
        <f t="shared" si="19"/>
        <v>2994.157082201169</v>
      </c>
    </row>
    <row r="73" spans="1:13" x14ac:dyDescent="0.15">
      <c r="A73" s="10">
        <v>71</v>
      </c>
      <c r="B73" s="7" t="s">
        <v>13</v>
      </c>
      <c r="C73" s="7" t="s">
        <v>13</v>
      </c>
      <c r="D73" s="11">
        <f t="shared" si="20"/>
        <v>43062</v>
      </c>
      <c r="E73" s="7">
        <v>1200</v>
      </c>
      <c r="F73" s="7">
        <v>0</v>
      </c>
      <c r="G73" s="7">
        <f t="shared" si="14"/>
        <v>60</v>
      </c>
      <c r="H73" s="7">
        <v>10</v>
      </c>
      <c r="I73" s="12">
        <f t="shared" si="15"/>
        <v>25.886555089305229</v>
      </c>
      <c r="J73" s="7">
        <f t="shared" si="13"/>
        <v>128</v>
      </c>
      <c r="K73" s="7">
        <f t="shared" si="17"/>
        <v>108.93629758129542</v>
      </c>
      <c r="L73" s="7">
        <f t="shared" si="18"/>
        <v>0</v>
      </c>
      <c r="M73" s="13">
        <f t="shared" si="19"/>
        <v>1091.0637024187047</v>
      </c>
    </row>
    <row r="74" spans="1:13" x14ac:dyDescent="0.15">
      <c r="A74" s="10">
        <v>72</v>
      </c>
      <c r="B74" s="7" t="s">
        <v>13</v>
      </c>
      <c r="C74" s="7" t="s">
        <v>13</v>
      </c>
      <c r="D74" s="11">
        <f t="shared" si="20"/>
        <v>43067</v>
      </c>
      <c r="E74" s="7">
        <v>0</v>
      </c>
      <c r="F74" s="7">
        <v>13500</v>
      </c>
      <c r="G74" s="7">
        <f t="shared" si="14"/>
        <v>675</v>
      </c>
      <c r="H74" s="7">
        <v>10</v>
      </c>
      <c r="I74" s="12">
        <f t="shared" si="15"/>
        <v>25.886555089305229</v>
      </c>
      <c r="J74" s="7">
        <f t="shared" si="13"/>
        <v>123</v>
      </c>
      <c r="K74" s="7">
        <f t="shared" si="17"/>
        <v>0</v>
      </c>
      <c r="L74" s="7">
        <f t="shared" si="18"/>
        <v>1177.6609513915434</v>
      </c>
      <c r="M74" s="13">
        <f t="shared" si="19"/>
        <v>12322.339048608457</v>
      </c>
    </row>
    <row r="75" spans="1:13" x14ac:dyDescent="0.15">
      <c r="A75" s="10">
        <v>73</v>
      </c>
      <c r="B75" s="7" t="s">
        <v>13</v>
      </c>
      <c r="C75" s="7" t="s">
        <v>13</v>
      </c>
      <c r="D75" s="11">
        <f t="shared" si="20"/>
        <v>43072</v>
      </c>
      <c r="E75" s="7">
        <v>0</v>
      </c>
      <c r="F75" s="7">
        <v>256348</v>
      </c>
      <c r="G75" s="7">
        <f t="shared" si="14"/>
        <v>12817.400000000001</v>
      </c>
      <c r="H75" s="7">
        <v>10</v>
      </c>
      <c r="I75" s="12">
        <f t="shared" si="15"/>
        <v>25.886555089305229</v>
      </c>
      <c r="J75" s="7">
        <f t="shared" si="13"/>
        <v>118</v>
      </c>
      <c r="K75" s="7">
        <f t="shared" si="17"/>
        <v>0</v>
      </c>
      <c r="L75" s="7">
        <f t="shared" si="18"/>
        <v>21453.261962627934</v>
      </c>
      <c r="M75" s="13">
        <f t="shared" si="19"/>
        <v>234894.73803737207</v>
      </c>
    </row>
    <row r="76" spans="1:13" x14ac:dyDescent="0.15">
      <c r="A76" s="10">
        <v>74</v>
      </c>
      <c r="B76" s="7" t="s">
        <v>14</v>
      </c>
      <c r="C76" s="7" t="s">
        <v>14</v>
      </c>
      <c r="D76" s="11">
        <f t="shared" si="20"/>
        <v>43077</v>
      </c>
      <c r="E76" s="7">
        <v>0</v>
      </c>
      <c r="F76" s="7">
        <v>104111</v>
      </c>
      <c r="G76" s="7">
        <f t="shared" si="14"/>
        <v>5205.55</v>
      </c>
      <c r="H76" s="7">
        <v>5</v>
      </c>
      <c r="I76" s="12">
        <f t="shared" si="15"/>
        <v>45.071972834694108</v>
      </c>
      <c r="J76" s="7">
        <f t="shared" si="13"/>
        <v>113</v>
      </c>
      <c r="K76" s="7">
        <f t="shared" si="17"/>
        <v>0</v>
      </c>
      <c r="L76" s="7">
        <f t="shared" si="18"/>
        <v>14527.429109824403</v>
      </c>
      <c r="M76" s="13">
        <f t="shared" si="19"/>
        <v>89583.570890175601</v>
      </c>
    </row>
    <row r="77" spans="1:13" x14ac:dyDescent="0.15">
      <c r="A77" s="10">
        <v>75</v>
      </c>
      <c r="B77" s="7" t="s">
        <v>14</v>
      </c>
      <c r="C77" s="7" t="s">
        <v>14</v>
      </c>
      <c r="D77" s="11">
        <f t="shared" si="20"/>
        <v>43082</v>
      </c>
      <c r="E77" s="7">
        <v>0</v>
      </c>
      <c r="F77" s="7">
        <v>91255</v>
      </c>
      <c r="G77" s="7">
        <f t="shared" si="14"/>
        <v>4562.75</v>
      </c>
      <c r="H77" s="7">
        <v>5</v>
      </c>
      <c r="I77" s="12">
        <f t="shared" si="15"/>
        <v>45.071972834694108</v>
      </c>
      <c r="J77" s="7">
        <f t="shared" si="13"/>
        <v>108</v>
      </c>
      <c r="K77" s="7">
        <f t="shared" si="17"/>
        <v>0</v>
      </c>
      <c r="L77" s="7">
        <f t="shared" si="18"/>
        <v>12170.099483595648</v>
      </c>
      <c r="M77" s="13">
        <f t="shared" si="19"/>
        <v>79084.900516404348</v>
      </c>
    </row>
    <row r="78" spans="1:13" x14ac:dyDescent="0.15">
      <c r="A78" s="10">
        <v>76</v>
      </c>
      <c r="B78" s="7" t="s">
        <v>14</v>
      </c>
      <c r="C78" s="7" t="s">
        <v>14</v>
      </c>
      <c r="D78" s="11">
        <f t="shared" si="20"/>
        <v>43087</v>
      </c>
      <c r="E78" s="7">
        <v>0</v>
      </c>
      <c r="F78" s="7">
        <v>79871</v>
      </c>
      <c r="G78" s="7">
        <f t="shared" si="14"/>
        <v>3993.55</v>
      </c>
      <c r="H78" s="7">
        <v>5</v>
      </c>
      <c r="I78" s="12">
        <f t="shared" si="15"/>
        <v>45.071972834694108</v>
      </c>
      <c r="J78" s="7">
        <f t="shared" si="13"/>
        <v>103</v>
      </c>
      <c r="K78" s="7">
        <f t="shared" si="17"/>
        <v>0</v>
      </c>
      <c r="L78" s="7">
        <f t="shared" si="18"/>
        <v>10158.744790543147</v>
      </c>
      <c r="M78" s="13">
        <f t="shared" si="19"/>
        <v>69712.255209456853</v>
      </c>
    </row>
    <row r="79" spans="1:13" x14ac:dyDescent="0.15">
      <c r="A79" s="10">
        <v>77</v>
      </c>
      <c r="B79" s="7" t="s">
        <v>14</v>
      </c>
      <c r="C79" s="7" t="s">
        <v>14</v>
      </c>
      <c r="D79" s="11">
        <f t="shared" si="20"/>
        <v>43092</v>
      </c>
      <c r="E79" s="7">
        <v>0</v>
      </c>
      <c r="F79" s="7">
        <v>3348</v>
      </c>
      <c r="G79" s="7">
        <f t="shared" si="14"/>
        <v>167.4</v>
      </c>
      <c r="H79" s="7">
        <v>5</v>
      </c>
      <c r="I79" s="12">
        <f t="shared" si="15"/>
        <v>45.071972834694108</v>
      </c>
      <c r="J79" s="7">
        <f t="shared" si="13"/>
        <v>98</v>
      </c>
      <c r="K79" s="7">
        <f t="shared" si="17"/>
        <v>0</v>
      </c>
      <c r="L79" s="7">
        <f t="shared" si="18"/>
        <v>405.1587554782048</v>
      </c>
      <c r="M79" s="13">
        <f t="shared" si="19"/>
        <v>2942.841244521795</v>
      </c>
    </row>
    <row r="80" spans="1:13" x14ac:dyDescent="0.15">
      <c r="A80" s="10">
        <v>78</v>
      </c>
      <c r="B80" s="7" t="s">
        <v>14</v>
      </c>
      <c r="C80" s="7" t="s">
        <v>14</v>
      </c>
      <c r="D80" s="11">
        <f t="shared" si="20"/>
        <v>43097</v>
      </c>
      <c r="E80" s="7">
        <v>1200</v>
      </c>
      <c r="F80" s="7">
        <v>0</v>
      </c>
      <c r="G80" s="7">
        <f t="shared" si="14"/>
        <v>60</v>
      </c>
      <c r="H80" s="7">
        <v>5</v>
      </c>
      <c r="I80" s="12">
        <f t="shared" si="15"/>
        <v>45.071972834694108</v>
      </c>
      <c r="J80" s="7">
        <f t="shared" si="13"/>
        <v>93</v>
      </c>
      <c r="K80" s="7">
        <f t="shared" si="17"/>
        <v>137.80910050279073</v>
      </c>
      <c r="L80" s="7">
        <f t="shared" si="18"/>
        <v>0</v>
      </c>
      <c r="M80" s="13">
        <f t="shared" si="19"/>
        <v>1062.1908994972093</v>
      </c>
    </row>
    <row r="81" spans="1:13" x14ac:dyDescent="0.15">
      <c r="A81" s="10">
        <v>79</v>
      </c>
      <c r="B81" s="7" t="s">
        <v>14</v>
      </c>
      <c r="C81" s="7" t="s">
        <v>14</v>
      </c>
      <c r="D81" s="11">
        <f t="shared" si="20"/>
        <v>43102</v>
      </c>
      <c r="E81" s="7">
        <v>0</v>
      </c>
      <c r="F81" s="7">
        <v>14250</v>
      </c>
      <c r="G81" s="7">
        <f t="shared" si="14"/>
        <v>712.5</v>
      </c>
      <c r="H81" s="7">
        <v>5</v>
      </c>
      <c r="I81" s="12">
        <f t="shared" si="15"/>
        <v>45.071972834694108</v>
      </c>
      <c r="J81" s="7">
        <f t="shared" si="13"/>
        <v>88</v>
      </c>
      <c r="K81" s="7">
        <f t="shared" si="17"/>
        <v>0</v>
      </c>
      <c r="L81" s="7">
        <f t="shared" si="18"/>
        <v>1548.5001078001756</v>
      </c>
      <c r="M81" s="13">
        <f t="shared" si="19"/>
        <v>12701.499892199825</v>
      </c>
    </row>
    <row r="82" spans="1:13" x14ac:dyDescent="0.15">
      <c r="A82" s="10">
        <v>80</v>
      </c>
      <c r="B82" s="7" t="s">
        <v>14</v>
      </c>
      <c r="C82" s="7" t="s">
        <v>14</v>
      </c>
      <c r="D82" s="11">
        <f t="shared" si="20"/>
        <v>43107</v>
      </c>
      <c r="E82" s="7">
        <v>256439</v>
      </c>
      <c r="F82" s="7">
        <v>0</v>
      </c>
      <c r="G82" s="7">
        <f t="shared" si="14"/>
        <v>12821.95</v>
      </c>
      <c r="H82" s="7">
        <v>5</v>
      </c>
      <c r="I82" s="12">
        <f t="shared" si="15"/>
        <v>45.071972834694108</v>
      </c>
      <c r="J82" s="7">
        <f t="shared" si="13"/>
        <v>83</v>
      </c>
      <c r="K82" s="7">
        <f t="shared" si="17"/>
        <v>26283.056610020769</v>
      </c>
      <c r="L82" s="7">
        <f t="shared" si="18"/>
        <v>0</v>
      </c>
      <c r="M82" s="13">
        <f t="shared" si="19"/>
        <v>230155.94338997922</v>
      </c>
    </row>
    <row r="83" spans="1:13" x14ac:dyDescent="0.15">
      <c r="A83" s="10">
        <v>81</v>
      </c>
      <c r="B83" s="7" t="s">
        <v>14</v>
      </c>
      <c r="C83" s="7" t="s">
        <v>14</v>
      </c>
      <c r="D83" s="11">
        <f t="shared" si="20"/>
        <v>43112</v>
      </c>
      <c r="E83" s="7">
        <v>0</v>
      </c>
      <c r="F83" s="7">
        <v>100890</v>
      </c>
      <c r="G83" s="7">
        <f t="shared" si="14"/>
        <v>5044.5</v>
      </c>
      <c r="H83" s="7">
        <v>5</v>
      </c>
      <c r="I83" s="12">
        <f t="shared" si="15"/>
        <v>45.071972834694108</v>
      </c>
      <c r="J83" s="7">
        <f t="shared" si="13"/>
        <v>78</v>
      </c>
      <c r="K83" s="7">
        <f t="shared" si="17"/>
        <v>0</v>
      </c>
      <c r="L83" s="7">
        <f t="shared" si="18"/>
        <v>9717.5420401314659</v>
      </c>
      <c r="M83" s="13">
        <f t="shared" si="19"/>
        <v>91172.457959868538</v>
      </c>
    </row>
    <row r="84" spans="1:13" x14ac:dyDescent="0.15">
      <c r="A84" s="10">
        <v>82</v>
      </c>
      <c r="B84" s="7" t="s">
        <v>14</v>
      </c>
      <c r="C84" s="7" t="s">
        <v>14</v>
      </c>
      <c r="D84" s="11">
        <f t="shared" si="20"/>
        <v>43117</v>
      </c>
      <c r="E84" s="7">
        <v>0</v>
      </c>
      <c r="F84" s="7">
        <v>88840</v>
      </c>
      <c r="G84" s="7">
        <f t="shared" si="14"/>
        <v>4442</v>
      </c>
      <c r="H84" s="7">
        <v>5</v>
      </c>
      <c r="I84" s="12">
        <f t="shared" si="15"/>
        <v>45.071972834694108</v>
      </c>
      <c r="J84" s="7">
        <f t="shared" si="13"/>
        <v>73</v>
      </c>
      <c r="K84" s="7">
        <f t="shared" si="17"/>
        <v>0</v>
      </c>
      <c r="L84" s="7">
        <f t="shared" si="18"/>
        <v>8008.3881332684487</v>
      </c>
      <c r="M84" s="13">
        <f t="shared" si="19"/>
        <v>80831.611866731546</v>
      </c>
    </row>
    <row r="85" spans="1:13" x14ac:dyDescent="0.15">
      <c r="A85" s="10">
        <v>83</v>
      </c>
      <c r="B85" s="7" t="s">
        <v>14</v>
      </c>
      <c r="C85" s="7" t="s">
        <v>14</v>
      </c>
      <c r="D85" s="11">
        <f t="shared" si="20"/>
        <v>43122</v>
      </c>
      <c r="E85" s="7">
        <v>0</v>
      </c>
      <c r="F85" s="7">
        <v>77456</v>
      </c>
      <c r="G85" s="7">
        <f t="shared" si="14"/>
        <v>3872.8</v>
      </c>
      <c r="H85" s="7">
        <v>5</v>
      </c>
      <c r="I85" s="12">
        <f t="shared" si="15"/>
        <v>45.071972834694108</v>
      </c>
      <c r="J85" s="7">
        <f t="shared" si="13"/>
        <v>68</v>
      </c>
      <c r="K85" s="7">
        <f t="shared" si="17"/>
        <v>0</v>
      </c>
      <c r="L85" s="7">
        <f t="shared" si="18"/>
        <v>6503.9573012634683</v>
      </c>
      <c r="M85" s="13">
        <f t="shared" si="19"/>
        <v>70952.042698736535</v>
      </c>
    </row>
    <row r="86" spans="1:13" x14ac:dyDescent="0.15">
      <c r="A86" s="10">
        <v>84</v>
      </c>
      <c r="B86" s="7" t="s">
        <v>14</v>
      </c>
      <c r="C86" s="7" t="s">
        <v>14</v>
      </c>
      <c r="D86" s="11">
        <f t="shared" si="20"/>
        <v>43127</v>
      </c>
      <c r="E86" s="7">
        <v>0</v>
      </c>
      <c r="F86" s="7">
        <v>3283</v>
      </c>
      <c r="G86" s="7">
        <f t="shared" si="14"/>
        <v>164.15</v>
      </c>
      <c r="H86" s="7">
        <v>5</v>
      </c>
      <c r="I86" s="12">
        <f t="shared" si="15"/>
        <v>45.071972834694108</v>
      </c>
      <c r="J86" s="7">
        <f t="shared" si="13"/>
        <v>63</v>
      </c>
      <c r="K86" s="7">
        <f t="shared" si="17"/>
        <v>0</v>
      </c>
      <c r="L86" s="7">
        <f t="shared" si="18"/>
        <v>255.40249505279306</v>
      </c>
      <c r="M86" s="13">
        <f t="shared" si="19"/>
        <v>3027.5975049472067</v>
      </c>
    </row>
    <row r="87" spans="1:13" x14ac:dyDescent="0.15">
      <c r="A87" s="10">
        <v>85</v>
      </c>
      <c r="B87" s="7" t="s">
        <v>14</v>
      </c>
      <c r="C87" s="7" t="s">
        <v>14</v>
      </c>
      <c r="D87" s="11">
        <f t="shared" si="20"/>
        <v>43132</v>
      </c>
      <c r="E87" s="7">
        <v>1200</v>
      </c>
      <c r="F87" s="7">
        <v>0</v>
      </c>
      <c r="G87" s="7">
        <f t="shared" si="14"/>
        <v>60</v>
      </c>
      <c r="H87" s="7">
        <v>5</v>
      </c>
      <c r="I87" s="12">
        <f t="shared" si="15"/>
        <v>45.071972834694108</v>
      </c>
      <c r="J87" s="7">
        <f t="shared" si="13"/>
        <v>58</v>
      </c>
      <c r="K87" s="7">
        <f t="shared" si="17"/>
        <v>85.945460528622178</v>
      </c>
      <c r="L87" s="7">
        <f t="shared" si="18"/>
        <v>0</v>
      </c>
      <c r="M87" s="13">
        <f t="shared" si="19"/>
        <v>1114.0545394713779</v>
      </c>
    </row>
    <row r="88" spans="1:13" x14ac:dyDescent="0.15">
      <c r="A88" s="10">
        <v>86</v>
      </c>
      <c r="B88" s="7" t="s">
        <v>14</v>
      </c>
      <c r="C88" s="7" t="s">
        <v>14</v>
      </c>
      <c r="D88" s="11">
        <f t="shared" si="20"/>
        <v>43137</v>
      </c>
      <c r="E88" s="7">
        <v>0</v>
      </c>
      <c r="F88" s="7">
        <v>14250</v>
      </c>
      <c r="G88" s="7">
        <f t="shared" si="14"/>
        <v>712.5</v>
      </c>
      <c r="H88" s="7">
        <v>5</v>
      </c>
      <c r="I88" s="12">
        <f t="shared" si="15"/>
        <v>45.071972834694108</v>
      </c>
      <c r="J88" s="7">
        <f t="shared" si="13"/>
        <v>53</v>
      </c>
      <c r="K88" s="7">
        <f t="shared" si="17"/>
        <v>0</v>
      </c>
      <c r="L88" s="7">
        <f t="shared" si="18"/>
        <v>932.61938310692392</v>
      </c>
      <c r="M88" s="13">
        <f t="shared" si="19"/>
        <v>13317.380616893077</v>
      </c>
    </row>
    <row r="89" spans="1:13" x14ac:dyDescent="0.15">
      <c r="A89" s="10">
        <v>87</v>
      </c>
      <c r="B89" s="7" t="s">
        <v>14</v>
      </c>
      <c r="C89" s="7" t="s">
        <v>14</v>
      </c>
      <c r="D89" s="11">
        <f t="shared" si="20"/>
        <v>43142</v>
      </c>
      <c r="E89" s="7">
        <v>0</v>
      </c>
      <c r="F89" s="7">
        <v>24</v>
      </c>
      <c r="G89" s="7">
        <f t="shared" si="14"/>
        <v>1.2000000000000002</v>
      </c>
      <c r="H89" s="7">
        <v>5</v>
      </c>
      <c r="I89" s="12">
        <f t="shared" si="15"/>
        <v>45.071972834694108</v>
      </c>
      <c r="J89" s="7">
        <f t="shared" si="13"/>
        <v>48</v>
      </c>
      <c r="K89" s="7">
        <f t="shared" si="17"/>
        <v>0</v>
      </c>
      <c r="L89" s="7">
        <f t="shared" si="18"/>
        <v>1.4225455535771949</v>
      </c>
      <c r="M89" s="13">
        <f t="shared" si="19"/>
        <v>22.577454446422806</v>
      </c>
    </row>
    <row r="90" spans="1:13" x14ac:dyDescent="0.15">
      <c r="A90" s="10">
        <v>88</v>
      </c>
      <c r="B90" s="7" t="s">
        <v>14</v>
      </c>
      <c r="C90" s="7" t="s">
        <v>14</v>
      </c>
      <c r="D90" s="11">
        <f t="shared" si="20"/>
        <v>43147</v>
      </c>
      <c r="E90" s="7">
        <v>248429</v>
      </c>
      <c r="F90" s="7">
        <v>0</v>
      </c>
      <c r="G90" s="7">
        <f t="shared" si="14"/>
        <v>12421.45</v>
      </c>
      <c r="H90" s="7">
        <v>5</v>
      </c>
      <c r="I90" s="12">
        <f t="shared" si="15"/>
        <v>45.071972834694108</v>
      </c>
      <c r="J90" s="7">
        <f t="shared" si="13"/>
        <v>43</v>
      </c>
      <c r="K90" s="7">
        <f t="shared" si="17"/>
        <v>13191.204410741359</v>
      </c>
      <c r="L90" s="7">
        <f t="shared" si="18"/>
        <v>0</v>
      </c>
      <c r="M90" s="13">
        <f t="shared" si="19"/>
        <v>235237.79558925863</v>
      </c>
    </row>
    <row r="91" spans="1:13" x14ac:dyDescent="0.15">
      <c r="A91" s="10">
        <v>89</v>
      </c>
      <c r="B91" s="7" t="s">
        <v>14</v>
      </c>
      <c r="C91" s="7" t="s">
        <v>14</v>
      </c>
      <c r="D91" s="11">
        <f t="shared" si="20"/>
        <v>43152</v>
      </c>
      <c r="E91" s="7">
        <v>0</v>
      </c>
      <c r="F91" s="7">
        <v>102614</v>
      </c>
      <c r="G91" s="7">
        <f t="shared" si="14"/>
        <v>5130.7000000000007</v>
      </c>
      <c r="H91" s="7">
        <v>5</v>
      </c>
      <c r="I91" s="12">
        <f t="shared" si="15"/>
        <v>45.071972834694108</v>
      </c>
      <c r="J91" s="7">
        <f t="shared" si="13"/>
        <v>38</v>
      </c>
      <c r="K91" s="7">
        <f t="shared" si="17"/>
        <v>0</v>
      </c>
      <c r="L91" s="7">
        <f t="shared" si="18"/>
        <v>4815.0845473274912</v>
      </c>
      <c r="M91" s="13">
        <f t="shared" si="19"/>
        <v>97798.915452672503</v>
      </c>
    </row>
    <row r="92" spans="1:13" x14ac:dyDescent="0.15">
      <c r="A92" s="10">
        <v>90</v>
      </c>
      <c r="B92" s="7" t="s">
        <v>14</v>
      </c>
      <c r="C92" s="7" t="s">
        <v>14</v>
      </c>
      <c r="D92" s="11">
        <f t="shared" si="20"/>
        <v>43157</v>
      </c>
      <c r="E92" s="7">
        <v>0</v>
      </c>
      <c r="F92" s="7">
        <v>90132</v>
      </c>
      <c r="G92" s="7">
        <f t="shared" si="14"/>
        <v>4506.6000000000004</v>
      </c>
      <c r="H92" s="7">
        <v>5</v>
      </c>
      <c r="I92" s="12">
        <f t="shared" si="15"/>
        <v>45.071972834694108</v>
      </c>
      <c r="J92" s="7">
        <f t="shared" si="13"/>
        <v>33</v>
      </c>
      <c r="K92" s="7">
        <f t="shared" si="17"/>
        <v>0</v>
      </c>
      <c r="L92" s="7">
        <f t="shared" si="18"/>
        <v>3672.8792556906692</v>
      </c>
      <c r="M92" s="13">
        <f t="shared" si="19"/>
        <v>86459.12074430933</v>
      </c>
    </row>
    <row r="93" spans="1:13" x14ac:dyDescent="0.15">
      <c r="A93" s="10">
        <v>91</v>
      </c>
      <c r="B93" s="7" t="s">
        <v>14</v>
      </c>
      <c r="C93" s="7" t="s">
        <v>14</v>
      </c>
      <c r="D93" s="11">
        <f t="shared" si="20"/>
        <v>43162</v>
      </c>
      <c r="E93" s="7">
        <v>0</v>
      </c>
      <c r="F93" s="7">
        <v>78748</v>
      </c>
      <c r="G93" s="7">
        <f t="shared" si="14"/>
        <v>3937.4</v>
      </c>
      <c r="H93" s="7">
        <v>5</v>
      </c>
      <c r="I93" s="12">
        <f t="shared" si="15"/>
        <v>45.071972834694108</v>
      </c>
      <c r="J93" s="7">
        <f t="shared" si="13"/>
        <v>28</v>
      </c>
      <c r="K93" s="7">
        <f t="shared" si="17"/>
        <v>0</v>
      </c>
      <c r="L93" s="7">
        <f t="shared" si="18"/>
        <v>2722.7719471238843</v>
      </c>
      <c r="M93" s="13">
        <f t="shared" si="19"/>
        <v>76025.228052876118</v>
      </c>
    </row>
    <row r="94" spans="1:13" x14ac:dyDescent="0.15">
      <c r="A94" s="10">
        <v>92</v>
      </c>
      <c r="B94" s="7" t="s">
        <v>14</v>
      </c>
      <c r="C94" s="7" t="s">
        <v>14</v>
      </c>
      <c r="D94" s="11">
        <f t="shared" si="20"/>
        <v>43167</v>
      </c>
      <c r="E94" s="7">
        <v>3168</v>
      </c>
      <c r="F94" s="7">
        <v>0</v>
      </c>
      <c r="G94" s="7">
        <f t="shared" si="14"/>
        <v>158.4</v>
      </c>
      <c r="H94" s="7">
        <v>5</v>
      </c>
      <c r="I94" s="12">
        <f t="shared" si="15"/>
        <v>45.071972834694108</v>
      </c>
      <c r="J94" s="7">
        <f t="shared" si="13"/>
        <v>23</v>
      </c>
      <c r="K94" s="7">
        <f t="shared" si="17"/>
        <v>89.976006263757583</v>
      </c>
      <c r="L94" s="7">
        <f t="shared" si="18"/>
        <v>0</v>
      </c>
      <c r="M94" s="13">
        <f t="shared" si="19"/>
        <v>3078.0239937362426</v>
      </c>
    </row>
    <row r="95" spans="1:13" x14ac:dyDescent="0.15">
      <c r="A95" s="10">
        <v>93</v>
      </c>
      <c r="B95" s="7" t="s">
        <v>14</v>
      </c>
      <c r="C95" s="7" t="s">
        <v>14</v>
      </c>
      <c r="D95" s="11">
        <f t="shared" si="20"/>
        <v>43172</v>
      </c>
      <c r="E95" s="7">
        <v>1200</v>
      </c>
      <c r="F95" s="7">
        <v>0</v>
      </c>
      <c r="G95" s="7">
        <f t="shared" si="14"/>
        <v>60</v>
      </c>
      <c r="H95" s="7">
        <v>5</v>
      </c>
      <c r="I95" s="12">
        <f t="shared" si="15"/>
        <v>45.071972834694108</v>
      </c>
      <c r="J95" s="7">
        <f t="shared" si="13"/>
        <v>18</v>
      </c>
      <c r="K95" s="7">
        <f t="shared" si="17"/>
        <v>26.672729129572399</v>
      </c>
      <c r="L95" s="7">
        <f t="shared" si="18"/>
        <v>0</v>
      </c>
      <c r="M95" s="13">
        <f t="shared" si="19"/>
        <v>1173.3272708704276</v>
      </c>
    </row>
    <row r="96" spans="1:13" x14ac:dyDescent="0.15">
      <c r="A96" s="10">
        <v>94</v>
      </c>
      <c r="B96" s="7" t="s">
        <v>15</v>
      </c>
      <c r="C96" s="7" t="s">
        <v>15</v>
      </c>
      <c r="D96" s="11">
        <f t="shared" si="20"/>
        <v>43177</v>
      </c>
      <c r="E96" s="7">
        <v>0</v>
      </c>
      <c r="F96" s="7">
        <v>14250</v>
      </c>
      <c r="G96" s="7">
        <f t="shared" si="14"/>
        <v>712.5</v>
      </c>
      <c r="H96" s="7">
        <v>6</v>
      </c>
      <c r="I96" s="12">
        <f t="shared" si="15"/>
        <v>39.303776899708275</v>
      </c>
      <c r="J96" s="7">
        <f t="shared" si="13"/>
        <v>13</v>
      </c>
      <c r="K96" s="7">
        <f t="shared" si="17"/>
        <v>0</v>
      </c>
      <c r="L96" s="7">
        <f t="shared" si="18"/>
        <v>199.4801279635879</v>
      </c>
      <c r="M96" s="13">
        <f t="shared" si="19"/>
        <v>14050.519872036411</v>
      </c>
    </row>
    <row r="97" spans="1:13" x14ac:dyDescent="0.15">
      <c r="A97" s="10">
        <v>95</v>
      </c>
      <c r="B97" s="7" t="s">
        <v>15</v>
      </c>
      <c r="C97" s="7" t="s">
        <v>15</v>
      </c>
      <c r="D97" s="11">
        <f t="shared" si="20"/>
        <v>43182</v>
      </c>
      <c r="E97" s="7">
        <v>0</v>
      </c>
      <c r="F97" s="7">
        <v>252876</v>
      </c>
      <c r="G97" s="7">
        <f t="shared" si="14"/>
        <v>12643.800000000001</v>
      </c>
      <c r="H97" s="7">
        <v>6</v>
      </c>
      <c r="I97" s="12">
        <f t="shared" si="15"/>
        <v>39.303776899708275</v>
      </c>
      <c r="J97" s="7">
        <f t="shared" si="13"/>
        <v>8</v>
      </c>
      <c r="K97" s="7">
        <f t="shared" si="17"/>
        <v>0</v>
      </c>
      <c r="L97" s="7">
        <f t="shared" si="18"/>
        <v>2178.4069889952066</v>
      </c>
      <c r="M97" s="13">
        <f t="shared" si="19"/>
        <v>250697.59301100479</v>
      </c>
    </row>
    <row r="98" spans="1:13" x14ac:dyDescent="0.15">
      <c r="A98" s="10">
        <v>96</v>
      </c>
      <c r="B98" s="7" t="s">
        <v>15</v>
      </c>
      <c r="C98" s="7" t="s">
        <v>15</v>
      </c>
      <c r="D98" s="11">
        <f t="shared" si="20"/>
        <v>43187</v>
      </c>
      <c r="E98" s="7">
        <v>104509</v>
      </c>
      <c r="F98" s="7">
        <v>0</v>
      </c>
      <c r="G98" s="7">
        <f t="shared" si="14"/>
        <v>5225.4500000000007</v>
      </c>
      <c r="H98" s="7">
        <v>6</v>
      </c>
      <c r="I98" s="12">
        <f t="shared" si="15"/>
        <v>39.303776899708275</v>
      </c>
      <c r="J98" s="7">
        <f t="shared" si="13"/>
        <v>3</v>
      </c>
      <c r="K98" s="7">
        <f t="shared" si="17"/>
        <v>337.61082904205028</v>
      </c>
      <c r="L98" s="7">
        <f t="shared" si="18"/>
        <v>0</v>
      </c>
      <c r="M98" s="13">
        <f t="shared" si="19"/>
        <v>104171.38917095795</v>
      </c>
    </row>
    <row r="99" spans="1:13" x14ac:dyDescent="0.15">
      <c r="A99" s="10">
        <v>97</v>
      </c>
      <c r="B99" s="7" t="s">
        <v>15</v>
      </c>
      <c r="C99" s="7" t="s">
        <v>15</v>
      </c>
      <c r="D99" s="11">
        <v>42829</v>
      </c>
      <c r="E99" s="7">
        <v>0</v>
      </c>
      <c r="F99" s="7">
        <v>90242</v>
      </c>
      <c r="G99" s="7">
        <f t="shared" si="14"/>
        <v>4512.1000000000004</v>
      </c>
      <c r="H99" s="7">
        <v>6</v>
      </c>
      <c r="I99" s="12">
        <f t="shared" si="15"/>
        <v>39.303776899708275</v>
      </c>
      <c r="J99" s="7">
        <f t="shared" ref="J99:J130" si="21">$I$1-D99</f>
        <v>361</v>
      </c>
      <c r="K99" s="7">
        <f t="shared" si="17"/>
        <v>0</v>
      </c>
      <c r="L99" s="7">
        <f t="shared" si="18"/>
        <v>35079.818302165317</v>
      </c>
      <c r="M99" s="13">
        <f t="shared" si="19"/>
        <v>55162.181697834683</v>
      </c>
    </row>
    <row r="100" spans="1:13" x14ac:dyDescent="0.15">
      <c r="A100" s="10">
        <v>98</v>
      </c>
      <c r="B100" s="7" t="s">
        <v>15</v>
      </c>
      <c r="C100" s="7" t="s">
        <v>15</v>
      </c>
      <c r="D100" s="11">
        <f>D99+5</f>
        <v>42834</v>
      </c>
      <c r="E100" s="7">
        <v>79608</v>
      </c>
      <c r="F100" s="7">
        <v>0</v>
      </c>
      <c r="G100" s="7">
        <f t="shared" ref="G100:G131" si="22">(F100+E100)*5%</f>
        <v>3980.4</v>
      </c>
      <c r="H100" s="7">
        <v>6</v>
      </c>
      <c r="I100" s="12">
        <f t="shared" ref="I100:I131" si="23">(1-(G100/(F100+E100))^(1/H100))*100</f>
        <v>39.303776899708275</v>
      </c>
      <c r="J100" s="7">
        <f t="shared" si="21"/>
        <v>356</v>
      </c>
      <c r="K100" s="7">
        <f t="shared" si="17"/>
        <v>30517.442340542013</v>
      </c>
      <c r="L100" s="7">
        <f t="shared" si="18"/>
        <v>0</v>
      </c>
      <c r="M100" s="13">
        <f t="shared" si="19"/>
        <v>49090.557659457991</v>
      </c>
    </row>
    <row r="101" spans="1:13" x14ac:dyDescent="0.15">
      <c r="A101" s="10">
        <v>99</v>
      </c>
      <c r="B101" s="7" t="s">
        <v>15</v>
      </c>
      <c r="C101" s="7" t="s">
        <v>15</v>
      </c>
      <c r="D101" s="11">
        <f t="shared" ref="D101:D116" si="24">D100+5</f>
        <v>42839</v>
      </c>
      <c r="E101" s="7">
        <v>0</v>
      </c>
      <c r="F101" s="7">
        <v>3149</v>
      </c>
      <c r="G101" s="7">
        <f t="shared" si="22"/>
        <v>157.45000000000002</v>
      </c>
      <c r="H101" s="7">
        <v>6</v>
      </c>
      <c r="I101" s="12">
        <f t="shared" si="23"/>
        <v>39.303776899708275</v>
      </c>
      <c r="J101" s="7">
        <f t="shared" si="21"/>
        <v>351</v>
      </c>
      <c r="K101" s="7">
        <f t="shared" si="17"/>
        <v>0</v>
      </c>
      <c r="L101" s="7">
        <f t="shared" si="18"/>
        <v>1190.2034329717987</v>
      </c>
      <c r="M101" s="13">
        <f t="shared" si="19"/>
        <v>1958.7965670282013</v>
      </c>
    </row>
    <row r="102" spans="1:13" x14ac:dyDescent="0.15">
      <c r="A102" s="10">
        <v>100</v>
      </c>
      <c r="B102" s="7" t="s">
        <v>15</v>
      </c>
      <c r="C102" s="7" t="s">
        <v>15</v>
      </c>
      <c r="D102" s="11">
        <f t="shared" si="24"/>
        <v>42844</v>
      </c>
      <c r="E102" s="7">
        <v>1200</v>
      </c>
      <c r="F102" s="7">
        <v>0</v>
      </c>
      <c r="G102" s="7">
        <f t="shared" si="22"/>
        <v>60</v>
      </c>
      <c r="H102" s="7">
        <v>6</v>
      </c>
      <c r="I102" s="12">
        <f t="shared" si="23"/>
        <v>39.303776899708275</v>
      </c>
      <c r="J102" s="7">
        <f t="shared" si="21"/>
        <v>346</v>
      </c>
      <c r="K102" s="7">
        <f t="shared" si="17"/>
        <v>447.09392243175006</v>
      </c>
      <c r="L102" s="7">
        <f t="shared" si="18"/>
        <v>0</v>
      </c>
      <c r="M102" s="13">
        <f t="shared" si="19"/>
        <v>752.90607756824988</v>
      </c>
    </row>
    <row r="103" spans="1:13" x14ac:dyDescent="0.15">
      <c r="A103" s="10">
        <v>101</v>
      </c>
      <c r="B103" s="7" t="s">
        <v>15</v>
      </c>
      <c r="C103" s="7" t="s">
        <v>15</v>
      </c>
      <c r="D103" s="11">
        <f t="shared" si="24"/>
        <v>42849</v>
      </c>
      <c r="E103" s="7">
        <v>0</v>
      </c>
      <c r="F103" s="7">
        <v>14250</v>
      </c>
      <c r="G103" s="7">
        <f t="shared" si="22"/>
        <v>712.5</v>
      </c>
      <c r="H103" s="7">
        <v>6</v>
      </c>
      <c r="I103" s="12">
        <f t="shared" si="23"/>
        <v>39.303776899708275</v>
      </c>
      <c r="J103" s="7">
        <f t="shared" si="21"/>
        <v>341</v>
      </c>
      <c r="K103" s="7">
        <f t="shared" si="17"/>
        <v>0</v>
      </c>
      <c r="L103" s="7">
        <f t="shared" si="18"/>
        <v>5232.5172027371909</v>
      </c>
      <c r="M103" s="13">
        <f t="shared" si="19"/>
        <v>9017.4827972628082</v>
      </c>
    </row>
    <row r="104" spans="1:13" x14ac:dyDescent="0.15">
      <c r="A104" s="10">
        <v>102</v>
      </c>
      <c r="B104" s="7" t="s">
        <v>15</v>
      </c>
      <c r="C104" s="7" t="s">
        <v>15</v>
      </c>
      <c r="D104" s="11">
        <f t="shared" si="24"/>
        <v>42854</v>
      </c>
      <c r="E104" s="7">
        <v>0</v>
      </c>
      <c r="F104" s="7">
        <v>255760</v>
      </c>
      <c r="G104" s="7">
        <f t="shared" si="22"/>
        <v>12788</v>
      </c>
      <c r="H104" s="7">
        <v>6</v>
      </c>
      <c r="I104" s="12">
        <f t="shared" si="23"/>
        <v>39.303776899708275</v>
      </c>
      <c r="J104" s="7">
        <f t="shared" si="21"/>
        <v>336</v>
      </c>
      <c r="K104" s="7">
        <f t="shared" si="17"/>
        <v>0</v>
      </c>
      <c r="L104" s="7">
        <f t="shared" si="18"/>
        <v>92536.55389687985</v>
      </c>
      <c r="M104" s="13">
        <f t="shared" si="19"/>
        <v>163223.44610312016</v>
      </c>
    </row>
    <row r="105" spans="1:13" x14ac:dyDescent="0.15">
      <c r="A105" s="10">
        <v>103</v>
      </c>
      <c r="B105" s="7" t="s">
        <v>15</v>
      </c>
      <c r="C105" s="7" t="s">
        <v>15</v>
      </c>
      <c r="D105" s="11">
        <f t="shared" si="24"/>
        <v>42859</v>
      </c>
      <c r="E105" s="7">
        <v>98410</v>
      </c>
      <c r="F105" s="7">
        <v>0</v>
      </c>
      <c r="G105" s="7">
        <f t="shared" si="22"/>
        <v>4920.5</v>
      </c>
      <c r="H105" s="7">
        <v>6</v>
      </c>
      <c r="I105" s="12">
        <f t="shared" si="23"/>
        <v>39.303776899708275</v>
      </c>
      <c r="J105" s="7">
        <f t="shared" si="21"/>
        <v>331</v>
      </c>
      <c r="K105" s="7">
        <f t="shared" si="17"/>
        <v>35075.885770843735</v>
      </c>
      <c r="L105" s="7">
        <f t="shared" si="18"/>
        <v>0</v>
      </c>
      <c r="M105" s="13">
        <f t="shared" si="19"/>
        <v>63334.114229156265</v>
      </c>
    </row>
    <row r="106" spans="1:13" x14ac:dyDescent="0.15">
      <c r="A106" s="10">
        <v>104</v>
      </c>
      <c r="B106" s="7" t="s">
        <v>15</v>
      </c>
      <c r="C106" s="7" t="s">
        <v>15</v>
      </c>
      <c r="D106" s="11">
        <f t="shared" si="24"/>
        <v>42864</v>
      </c>
      <c r="E106" s="7">
        <v>75079</v>
      </c>
      <c r="F106" s="7">
        <v>0</v>
      </c>
      <c r="G106" s="7">
        <f t="shared" si="22"/>
        <v>3753.9500000000003</v>
      </c>
      <c r="H106" s="7">
        <v>6</v>
      </c>
      <c r="I106" s="12">
        <f t="shared" si="23"/>
        <v>39.303776899708275</v>
      </c>
      <c r="J106" s="7">
        <f t="shared" si="21"/>
        <v>326</v>
      </c>
      <c r="K106" s="7">
        <f t="shared" si="17"/>
        <v>26355.878758031296</v>
      </c>
      <c r="L106" s="7">
        <f t="shared" si="18"/>
        <v>0</v>
      </c>
      <c r="M106" s="13">
        <f t="shared" si="19"/>
        <v>48723.121241968707</v>
      </c>
    </row>
    <row r="107" spans="1:13" x14ac:dyDescent="0.15">
      <c r="A107" s="10">
        <v>105</v>
      </c>
      <c r="B107" s="7" t="s">
        <v>15</v>
      </c>
      <c r="C107" s="7" t="s">
        <v>15</v>
      </c>
      <c r="D107" s="11">
        <f t="shared" si="24"/>
        <v>42869</v>
      </c>
      <c r="E107" s="7">
        <v>85773</v>
      </c>
      <c r="F107" s="7">
        <v>0</v>
      </c>
      <c r="G107" s="7">
        <f t="shared" si="22"/>
        <v>4288.6500000000005</v>
      </c>
      <c r="H107" s="7">
        <v>6</v>
      </c>
      <c r="I107" s="12">
        <f t="shared" si="23"/>
        <v>39.303776899708275</v>
      </c>
      <c r="J107" s="7">
        <f t="shared" si="21"/>
        <v>321</v>
      </c>
      <c r="K107" s="7">
        <f t="shared" si="17"/>
        <v>29648.112788547827</v>
      </c>
      <c r="L107" s="7">
        <f t="shared" si="18"/>
        <v>0</v>
      </c>
      <c r="M107" s="13">
        <f t="shared" si="19"/>
        <v>56124.887211452173</v>
      </c>
    </row>
    <row r="108" spans="1:13" x14ac:dyDescent="0.15">
      <c r="A108" s="10">
        <v>106</v>
      </c>
      <c r="B108" s="7" t="s">
        <v>15</v>
      </c>
      <c r="C108" s="7" t="s">
        <v>15</v>
      </c>
      <c r="D108" s="11">
        <f t="shared" si="24"/>
        <v>42874</v>
      </c>
      <c r="E108" s="7">
        <v>0</v>
      </c>
      <c r="F108" s="7">
        <v>3113</v>
      </c>
      <c r="G108" s="7">
        <f t="shared" si="22"/>
        <v>155.65</v>
      </c>
      <c r="H108" s="7">
        <v>6</v>
      </c>
      <c r="I108" s="12">
        <f t="shared" si="23"/>
        <v>39.303776899708275</v>
      </c>
      <c r="J108" s="7">
        <f t="shared" si="21"/>
        <v>316</v>
      </c>
      <c r="K108" s="7">
        <f t="shared" si="17"/>
        <v>0</v>
      </c>
      <c r="L108" s="7">
        <f t="shared" si="18"/>
        <v>1059.2723223687187</v>
      </c>
      <c r="M108" s="13">
        <f t="shared" si="19"/>
        <v>2053.727677631281</v>
      </c>
    </row>
    <row r="109" spans="1:13" x14ac:dyDescent="0.15">
      <c r="A109" s="10">
        <v>107</v>
      </c>
      <c r="B109" s="7" t="s">
        <v>15</v>
      </c>
      <c r="C109" s="7" t="s">
        <v>15</v>
      </c>
      <c r="D109" s="11">
        <f t="shared" si="24"/>
        <v>42879</v>
      </c>
      <c r="E109" s="7">
        <v>1200</v>
      </c>
      <c r="F109" s="7">
        <v>0</v>
      </c>
      <c r="G109" s="7">
        <f t="shared" si="22"/>
        <v>60</v>
      </c>
      <c r="H109" s="7">
        <v>6</v>
      </c>
      <c r="I109" s="12">
        <f t="shared" si="23"/>
        <v>39.303776899708275</v>
      </c>
      <c r="J109" s="7">
        <f t="shared" si="21"/>
        <v>311</v>
      </c>
      <c r="K109" s="7">
        <f t="shared" si="17"/>
        <v>401.86765860194879</v>
      </c>
      <c r="L109" s="7">
        <f t="shared" si="18"/>
        <v>0</v>
      </c>
      <c r="M109" s="13">
        <f t="shared" si="19"/>
        <v>798.13234139805127</v>
      </c>
    </row>
    <row r="110" spans="1:13" x14ac:dyDescent="0.15">
      <c r="A110" s="10">
        <v>108</v>
      </c>
      <c r="B110" s="7" t="s">
        <v>15</v>
      </c>
      <c r="C110" s="7" t="s">
        <v>15</v>
      </c>
      <c r="D110" s="11">
        <f t="shared" si="24"/>
        <v>42884</v>
      </c>
      <c r="E110" s="7">
        <v>0</v>
      </c>
      <c r="F110" s="7">
        <v>14250</v>
      </c>
      <c r="G110" s="7">
        <f t="shared" si="22"/>
        <v>712.5</v>
      </c>
      <c r="H110" s="7">
        <v>6</v>
      </c>
      <c r="I110" s="12">
        <f t="shared" si="23"/>
        <v>39.303776899708275</v>
      </c>
      <c r="J110" s="7">
        <f t="shared" si="21"/>
        <v>306</v>
      </c>
      <c r="K110" s="7">
        <f t="shared" si="17"/>
        <v>0</v>
      </c>
      <c r="L110" s="7">
        <f t="shared" si="18"/>
        <v>4695.4553197583</v>
      </c>
      <c r="M110" s="13">
        <f t="shared" si="19"/>
        <v>9554.5446802416991</v>
      </c>
    </row>
    <row r="111" spans="1:13" x14ac:dyDescent="0.15">
      <c r="A111" s="10">
        <v>109</v>
      </c>
      <c r="B111" s="7" t="s">
        <v>15</v>
      </c>
      <c r="C111" s="7" t="s">
        <v>15</v>
      </c>
      <c r="D111" s="11">
        <f t="shared" si="24"/>
        <v>42889</v>
      </c>
      <c r="E111" s="7">
        <v>0</v>
      </c>
      <c r="F111" s="7">
        <v>240699</v>
      </c>
      <c r="G111" s="7">
        <f t="shared" si="22"/>
        <v>12034.95</v>
      </c>
      <c r="H111" s="7">
        <v>6</v>
      </c>
      <c r="I111" s="12">
        <f t="shared" si="23"/>
        <v>39.303776899708275</v>
      </c>
      <c r="J111" s="7">
        <f t="shared" si="21"/>
        <v>301</v>
      </c>
      <c r="K111" s="7">
        <f t="shared" si="17"/>
        <v>0</v>
      </c>
      <c r="L111" s="7">
        <f t="shared" si="18"/>
        <v>78015.734755913625</v>
      </c>
      <c r="M111" s="13">
        <f t="shared" si="19"/>
        <v>162683.26524408639</v>
      </c>
    </row>
    <row r="112" spans="1:13" x14ac:dyDescent="0.15">
      <c r="A112" s="10">
        <v>110</v>
      </c>
      <c r="B112" s="7" t="s">
        <v>15</v>
      </c>
      <c r="C112" s="7" t="s">
        <v>15</v>
      </c>
      <c r="D112" s="11">
        <f t="shared" si="24"/>
        <v>42894</v>
      </c>
      <c r="E112" s="7">
        <v>0</v>
      </c>
      <c r="F112" s="7">
        <v>109458</v>
      </c>
      <c r="G112" s="7">
        <f t="shared" si="22"/>
        <v>5472.9000000000005</v>
      </c>
      <c r="H112" s="7">
        <v>6</v>
      </c>
      <c r="I112" s="12">
        <f t="shared" si="23"/>
        <v>39.303776899708275</v>
      </c>
      <c r="J112" s="7">
        <f t="shared" si="21"/>
        <v>296</v>
      </c>
      <c r="K112" s="7">
        <f t="shared" si="17"/>
        <v>0</v>
      </c>
      <c r="L112" s="7">
        <f t="shared" si="18"/>
        <v>34888.366912847327</v>
      </c>
      <c r="M112" s="13">
        <f t="shared" si="19"/>
        <v>74569.633087152673</v>
      </c>
    </row>
    <row r="113" spans="1:13" x14ac:dyDescent="0.15">
      <c r="A113" s="10">
        <v>111</v>
      </c>
      <c r="B113" s="7" t="s">
        <v>15</v>
      </c>
      <c r="C113" s="7" t="s">
        <v>15</v>
      </c>
      <c r="D113" s="11">
        <f t="shared" si="24"/>
        <v>42899</v>
      </c>
      <c r="E113" s="7">
        <v>0</v>
      </c>
      <c r="F113" s="7">
        <v>91823</v>
      </c>
      <c r="G113" s="7">
        <f t="shared" si="22"/>
        <v>4591.1500000000005</v>
      </c>
      <c r="H113" s="7">
        <v>6</v>
      </c>
      <c r="I113" s="12">
        <f t="shared" si="23"/>
        <v>39.303776899708275</v>
      </c>
      <c r="J113" s="7">
        <f t="shared" si="21"/>
        <v>291</v>
      </c>
      <c r="K113" s="7">
        <f t="shared" si="17"/>
        <v>0</v>
      </c>
      <c r="L113" s="7">
        <f t="shared" si="18"/>
        <v>28773.049192389499</v>
      </c>
      <c r="M113" s="13">
        <f t="shared" si="19"/>
        <v>63049.950807610498</v>
      </c>
    </row>
    <row r="114" spans="1:13" x14ac:dyDescent="0.15">
      <c r="A114" s="10">
        <v>112</v>
      </c>
      <c r="B114" s="7" t="s">
        <v>15</v>
      </c>
      <c r="C114" s="7" t="s">
        <v>15</v>
      </c>
      <c r="D114" s="11">
        <v>42829</v>
      </c>
      <c r="E114" s="7">
        <v>0</v>
      </c>
      <c r="F114" s="7">
        <v>82407</v>
      </c>
      <c r="G114" s="7">
        <f t="shared" si="22"/>
        <v>4120.3500000000004</v>
      </c>
      <c r="H114" s="7">
        <v>6</v>
      </c>
      <c r="I114" s="12">
        <f t="shared" si="23"/>
        <v>39.303776899708275</v>
      </c>
      <c r="J114" s="7">
        <f t="shared" si="21"/>
        <v>361</v>
      </c>
      <c r="K114" s="7">
        <f t="shared" si="17"/>
        <v>0</v>
      </c>
      <c r="L114" s="7">
        <f t="shared" si="18"/>
        <v>32034.114789416657</v>
      </c>
      <c r="M114" s="13">
        <f t="shared" si="19"/>
        <v>50372.885210583343</v>
      </c>
    </row>
    <row r="115" spans="1:13" x14ac:dyDescent="0.15">
      <c r="A115" s="10">
        <v>113</v>
      </c>
      <c r="B115" s="7" t="s">
        <v>15</v>
      </c>
      <c r="C115" s="7" t="s">
        <v>15</v>
      </c>
      <c r="D115" s="11">
        <f>D114+5</f>
        <v>42834</v>
      </c>
      <c r="E115" s="7">
        <v>3899</v>
      </c>
      <c r="F115" s="7">
        <v>0</v>
      </c>
      <c r="G115" s="7">
        <f t="shared" si="22"/>
        <v>194.95000000000002</v>
      </c>
      <c r="H115" s="7">
        <v>6</v>
      </c>
      <c r="I115" s="12">
        <f t="shared" si="23"/>
        <v>39.303776899708275</v>
      </c>
      <c r="J115" s="7">
        <f t="shared" si="21"/>
        <v>356</v>
      </c>
      <c r="K115" s="7">
        <f t="shared" si="17"/>
        <v>1494.6677178898265</v>
      </c>
      <c r="L115" s="7">
        <f t="shared" si="18"/>
        <v>0</v>
      </c>
      <c r="M115" s="13">
        <f t="shared" si="19"/>
        <v>2404.3322821101738</v>
      </c>
    </row>
    <row r="116" spans="1:13" x14ac:dyDescent="0.15">
      <c r="A116" s="10">
        <v>114</v>
      </c>
      <c r="B116" s="7" t="s">
        <v>15</v>
      </c>
      <c r="C116" s="7" t="s">
        <v>15</v>
      </c>
      <c r="D116" s="11">
        <f t="shared" si="24"/>
        <v>42839</v>
      </c>
      <c r="E116" s="7">
        <v>0</v>
      </c>
      <c r="F116" s="7">
        <v>1400</v>
      </c>
      <c r="G116" s="7">
        <f t="shared" si="22"/>
        <v>70</v>
      </c>
      <c r="H116" s="7">
        <v>6</v>
      </c>
      <c r="I116" s="12">
        <f t="shared" si="23"/>
        <v>39.303776899708275</v>
      </c>
      <c r="J116" s="7">
        <f t="shared" si="21"/>
        <v>351</v>
      </c>
      <c r="K116" s="7">
        <f t="shared" si="17"/>
        <v>0</v>
      </c>
      <c r="L116" s="7">
        <f t="shared" si="18"/>
        <v>529.14728680867529</v>
      </c>
      <c r="M116" s="13">
        <f t="shared" si="19"/>
        <v>870.85271319132471</v>
      </c>
    </row>
    <row r="117" spans="1:13" x14ac:dyDescent="0.15">
      <c r="A117" s="10">
        <v>115</v>
      </c>
      <c r="B117" s="7" t="s">
        <v>15</v>
      </c>
      <c r="C117" s="7" t="s">
        <v>15</v>
      </c>
      <c r="D117" s="11">
        <f t="shared" si="20"/>
        <v>42844</v>
      </c>
      <c r="E117" s="7">
        <v>0</v>
      </c>
      <c r="F117" s="7">
        <v>14250</v>
      </c>
      <c r="G117" s="7">
        <f t="shared" si="22"/>
        <v>712.5</v>
      </c>
      <c r="H117" s="7">
        <v>6</v>
      </c>
      <c r="I117" s="12">
        <f t="shared" si="23"/>
        <v>39.303776899708275</v>
      </c>
      <c r="J117" s="7">
        <f t="shared" si="21"/>
        <v>346</v>
      </c>
      <c r="K117" s="7">
        <f t="shared" si="17"/>
        <v>0</v>
      </c>
      <c r="L117" s="7">
        <f t="shared" si="18"/>
        <v>5309.240328877032</v>
      </c>
      <c r="M117" s="13">
        <f t="shared" si="19"/>
        <v>8940.7596711229671</v>
      </c>
    </row>
    <row r="118" spans="1:13" x14ac:dyDescent="0.15">
      <c r="A118" s="10">
        <v>116</v>
      </c>
      <c r="B118" s="7" t="s">
        <v>15</v>
      </c>
      <c r="C118" s="7" t="s">
        <v>15</v>
      </c>
      <c r="D118" s="11">
        <f t="shared" si="20"/>
        <v>42849</v>
      </c>
      <c r="E118" s="7">
        <v>0</v>
      </c>
      <c r="F118" s="7">
        <v>264139</v>
      </c>
      <c r="G118" s="7">
        <f t="shared" si="22"/>
        <v>13206.95</v>
      </c>
      <c r="H118" s="7">
        <v>6</v>
      </c>
      <c r="I118" s="12">
        <f t="shared" si="23"/>
        <v>39.303776899708275</v>
      </c>
      <c r="J118" s="7">
        <f t="shared" si="21"/>
        <v>341</v>
      </c>
      <c r="K118" s="7">
        <f t="shared" si="17"/>
        <v>0</v>
      </c>
      <c r="L118" s="7">
        <f t="shared" si="18"/>
        <v>96990.306064126227</v>
      </c>
      <c r="M118" s="13">
        <f t="shared" si="19"/>
        <v>167148.69393587377</v>
      </c>
    </row>
    <row r="119" spans="1:13" x14ac:dyDescent="0.15">
      <c r="A119" s="10">
        <v>117</v>
      </c>
      <c r="B119" s="7" t="s">
        <v>15</v>
      </c>
      <c r="C119" s="7" t="s">
        <v>15</v>
      </c>
      <c r="D119" s="11">
        <f t="shared" si="20"/>
        <v>42854</v>
      </c>
      <c r="E119" s="7">
        <v>0</v>
      </c>
      <c r="F119" s="7">
        <v>112581</v>
      </c>
      <c r="G119" s="7">
        <f t="shared" si="22"/>
        <v>5629.05</v>
      </c>
      <c r="H119" s="7">
        <v>6</v>
      </c>
      <c r="I119" s="12">
        <f t="shared" si="23"/>
        <v>39.303776899708275</v>
      </c>
      <c r="J119" s="7">
        <f t="shared" si="21"/>
        <v>336</v>
      </c>
      <c r="K119" s="7">
        <f t="shared" si="17"/>
        <v>0</v>
      </c>
      <c r="L119" s="7">
        <f t="shared" si="18"/>
        <v>40732.944065782889</v>
      </c>
      <c r="M119" s="13">
        <f t="shared" si="19"/>
        <v>71848.055934217118</v>
      </c>
    </row>
    <row r="120" spans="1:13" x14ac:dyDescent="0.15">
      <c r="A120" s="10">
        <v>118</v>
      </c>
      <c r="B120" s="7" t="s">
        <v>15</v>
      </c>
      <c r="C120" s="7" t="s">
        <v>15</v>
      </c>
      <c r="D120" s="11">
        <f t="shared" si="20"/>
        <v>42859</v>
      </c>
      <c r="E120" s="7">
        <v>0</v>
      </c>
      <c r="F120" s="7">
        <v>93525</v>
      </c>
      <c r="G120" s="7">
        <f t="shared" si="22"/>
        <v>4676.25</v>
      </c>
      <c r="H120" s="7">
        <v>6</v>
      </c>
      <c r="I120" s="12">
        <f t="shared" si="23"/>
        <v>39.303776899708275</v>
      </c>
      <c r="J120" s="7">
        <f t="shared" si="21"/>
        <v>331</v>
      </c>
      <c r="K120" s="7">
        <f t="shared" si="17"/>
        <v>0</v>
      </c>
      <c r="L120" s="7">
        <f t="shared" si="18"/>
        <v>33334.744606423745</v>
      </c>
      <c r="M120" s="13">
        <f t="shared" si="19"/>
        <v>60190.255393576255</v>
      </c>
    </row>
    <row r="121" spans="1:13" x14ac:dyDescent="0.15">
      <c r="A121" s="10">
        <v>119</v>
      </c>
      <c r="B121" s="7" t="s">
        <v>15</v>
      </c>
      <c r="C121" s="7" t="s">
        <v>15</v>
      </c>
      <c r="D121" s="11">
        <f t="shared" si="20"/>
        <v>42864</v>
      </c>
      <c r="E121" s="7">
        <v>0</v>
      </c>
      <c r="F121" s="7">
        <v>84474</v>
      </c>
      <c r="G121" s="7">
        <f t="shared" si="22"/>
        <v>4223.7</v>
      </c>
      <c r="H121" s="7">
        <v>6</v>
      </c>
      <c r="I121" s="12">
        <f t="shared" si="23"/>
        <v>39.303776899708275</v>
      </c>
      <c r="J121" s="7">
        <f t="shared" si="21"/>
        <v>326</v>
      </c>
      <c r="K121" s="7">
        <f t="shared" si="17"/>
        <v>0</v>
      </c>
      <c r="L121" s="7">
        <f t="shared" si="18"/>
        <v>29653.917902555124</v>
      </c>
      <c r="M121" s="13">
        <f t="shared" si="19"/>
        <v>54820.082097444872</v>
      </c>
    </row>
    <row r="122" spans="1:13" x14ac:dyDescent="0.15">
      <c r="A122" s="10">
        <v>120</v>
      </c>
      <c r="B122" s="7" t="s">
        <v>15</v>
      </c>
      <c r="C122" s="7" t="s">
        <v>15</v>
      </c>
      <c r="D122" s="11">
        <f t="shared" si="20"/>
        <v>42869</v>
      </c>
      <c r="E122" s="7">
        <v>0</v>
      </c>
      <c r="F122" s="7">
        <v>4118</v>
      </c>
      <c r="G122" s="7">
        <f t="shared" si="22"/>
        <v>205.9</v>
      </c>
      <c r="H122" s="7">
        <v>6</v>
      </c>
      <c r="I122" s="12">
        <f t="shared" si="23"/>
        <v>39.303776899708275</v>
      </c>
      <c r="J122" s="7">
        <f t="shared" si="21"/>
        <v>321</v>
      </c>
      <c r="K122" s="7">
        <f t="shared" si="17"/>
        <v>0</v>
      </c>
      <c r="L122" s="7">
        <f t="shared" si="18"/>
        <v>1423.4191233050021</v>
      </c>
      <c r="M122" s="13">
        <f t="shared" si="19"/>
        <v>2694.5808766949976</v>
      </c>
    </row>
    <row r="123" spans="1:13" x14ac:dyDescent="0.15">
      <c r="A123" s="10">
        <v>121</v>
      </c>
      <c r="B123" s="7" t="s">
        <v>16</v>
      </c>
      <c r="C123" s="7" t="s">
        <v>16</v>
      </c>
      <c r="D123" s="11">
        <f t="shared" si="20"/>
        <v>42874</v>
      </c>
      <c r="E123" s="7">
        <v>0</v>
      </c>
      <c r="F123" s="7">
        <v>1400</v>
      </c>
      <c r="G123" s="7">
        <f t="shared" si="22"/>
        <v>70</v>
      </c>
      <c r="H123" s="7">
        <v>10</v>
      </c>
      <c r="I123" s="12">
        <f t="shared" si="23"/>
        <v>25.886555089305229</v>
      </c>
      <c r="J123" s="7">
        <f t="shared" si="21"/>
        <v>316</v>
      </c>
      <c r="K123" s="7">
        <f t="shared" si="17"/>
        <v>0</v>
      </c>
      <c r="L123" s="7">
        <f t="shared" si="18"/>
        <v>313.75923209612694</v>
      </c>
      <c r="M123" s="13">
        <f t="shared" si="19"/>
        <v>1086.2407679038731</v>
      </c>
    </row>
    <row r="124" spans="1:13" x14ac:dyDescent="0.15">
      <c r="A124" s="10">
        <v>122</v>
      </c>
      <c r="B124" s="7" t="s">
        <v>16</v>
      </c>
      <c r="C124" s="7" t="s">
        <v>16</v>
      </c>
      <c r="D124" s="11">
        <f t="shared" si="20"/>
        <v>42879</v>
      </c>
      <c r="E124" s="7">
        <v>0</v>
      </c>
      <c r="F124" s="7">
        <v>14250</v>
      </c>
      <c r="G124" s="7">
        <f t="shared" si="22"/>
        <v>712.5</v>
      </c>
      <c r="H124" s="7">
        <v>10</v>
      </c>
      <c r="I124" s="12">
        <f t="shared" si="23"/>
        <v>25.886555089305229</v>
      </c>
      <c r="J124" s="7">
        <f t="shared" si="21"/>
        <v>311</v>
      </c>
      <c r="K124" s="7">
        <f t="shared" si="17"/>
        <v>0</v>
      </c>
      <c r="L124" s="7">
        <f t="shared" si="18"/>
        <v>3143.0887812884507</v>
      </c>
      <c r="M124" s="13">
        <f t="shared" si="19"/>
        <v>11106.91121871155</v>
      </c>
    </row>
    <row r="125" spans="1:13" x14ac:dyDescent="0.15">
      <c r="A125" s="10">
        <v>123</v>
      </c>
      <c r="B125" s="7" t="s">
        <v>16</v>
      </c>
      <c r="C125" s="7" t="s">
        <v>16</v>
      </c>
      <c r="D125" s="11">
        <f t="shared" si="20"/>
        <v>42884</v>
      </c>
      <c r="E125" s="7">
        <v>0</v>
      </c>
      <c r="F125" s="7">
        <v>270812</v>
      </c>
      <c r="G125" s="7">
        <f t="shared" si="22"/>
        <v>13540.6</v>
      </c>
      <c r="H125" s="7">
        <v>10</v>
      </c>
      <c r="I125" s="12">
        <f t="shared" si="23"/>
        <v>25.886555089305229</v>
      </c>
      <c r="J125" s="7">
        <f t="shared" si="21"/>
        <v>306</v>
      </c>
      <c r="K125" s="7">
        <f t="shared" si="17"/>
        <v>0</v>
      </c>
      <c r="L125" s="7">
        <f t="shared" si="18"/>
        <v>58772.034673823233</v>
      </c>
      <c r="M125" s="13">
        <f t="shared" si="19"/>
        <v>212039.96532617678</v>
      </c>
    </row>
    <row r="126" spans="1:13" x14ac:dyDescent="0.15">
      <c r="A126" s="10">
        <v>124</v>
      </c>
      <c r="B126" s="7" t="s">
        <v>16</v>
      </c>
      <c r="C126" s="7" t="s">
        <v>16</v>
      </c>
      <c r="D126" s="11">
        <f t="shared" si="20"/>
        <v>42889</v>
      </c>
      <c r="E126" s="7">
        <v>0</v>
      </c>
      <c r="F126" s="7">
        <v>107212</v>
      </c>
      <c r="G126" s="7">
        <f t="shared" si="22"/>
        <v>5360.6</v>
      </c>
      <c r="H126" s="7">
        <v>10</v>
      </c>
      <c r="I126" s="12">
        <f t="shared" si="23"/>
        <v>25.886555089305229</v>
      </c>
      <c r="J126" s="7">
        <f t="shared" si="21"/>
        <v>301</v>
      </c>
      <c r="K126" s="7">
        <f t="shared" si="17"/>
        <v>0</v>
      </c>
      <c r="L126" s="7">
        <f t="shared" si="18"/>
        <v>22887.127468893486</v>
      </c>
      <c r="M126" s="13">
        <f t="shared" si="19"/>
        <v>84324.872531106521</v>
      </c>
    </row>
    <row r="127" spans="1:13" x14ac:dyDescent="0.15">
      <c r="A127" s="10">
        <v>125</v>
      </c>
      <c r="B127" s="7" t="s">
        <v>16</v>
      </c>
      <c r="C127" s="7" t="s">
        <v>16</v>
      </c>
      <c r="D127" s="11">
        <f t="shared" si="20"/>
        <v>42894</v>
      </c>
      <c r="E127" s="7">
        <v>0</v>
      </c>
      <c r="F127" s="7">
        <v>92077</v>
      </c>
      <c r="G127" s="7">
        <f t="shared" si="22"/>
        <v>4603.8500000000004</v>
      </c>
      <c r="H127" s="7">
        <v>10</v>
      </c>
      <c r="I127" s="12">
        <f t="shared" si="23"/>
        <v>25.886555089305229</v>
      </c>
      <c r="J127" s="7">
        <f t="shared" si="21"/>
        <v>296</v>
      </c>
      <c r="K127" s="7">
        <f t="shared" si="17"/>
        <v>0</v>
      </c>
      <c r="L127" s="7">
        <f t="shared" si="18"/>
        <v>19329.662316590562</v>
      </c>
      <c r="M127" s="13">
        <f t="shared" si="19"/>
        <v>72747.337683409438</v>
      </c>
    </row>
    <row r="128" spans="1:13" x14ac:dyDescent="0.15">
      <c r="A128" s="10">
        <v>126</v>
      </c>
      <c r="B128" s="7" t="s">
        <v>16</v>
      </c>
      <c r="C128" s="7" t="s">
        <v>16</v>
      </c>
      <c r="D128" s="11">
        <f t="shared" si="20"/>
        <v>42899</v>
      </c>
      <c r="E128" s="7">
        <v>0</v>
      </c>
      <c r="F128" s="7">
        <v>81553</v>
      </c>
      <c r="G128" s="7">
        <f t="shared" si="22"/>
        <v>4077.65</v>
      </c>
      <c r="H128" s="7">
        <v>10</v>
      </c>
      <c r="I128" s="12">
        <f t="shared" si="23"/>
        <v>25.886555089305229</v>
      </c>
      <c r="J128" s="7">
        <f t="shared" si="21"/>
        <v>291</v>
      </c>
      <c r="K128" s="7">
        <f t="shared" si="17"/>
        <v>0</v>
      </c>
      <c r="L128" s="7">
        <f t="shared" si="18"/>
        <v>16831.170742867118</v>
      </c>
      <c r="M128" s="13">
        <f t="shared" si="19"/>
        <v>64721.829257132878</v>
      </c>
    </row>
    <row r="129" spans="1:13" x14ac:dyDescent="0.15">
      <c r="A129" s="10">
        <v>127</v>
      </c>
      <c r="B129" s="7" t="s">
        <v>16</v>
      </c>
      <c r="C129" s="7" t="s">
        <v>16</v>
      </c>
      <c r="D129" s="11">
        <f t="shared" si="20"/>
        <v>42904</v>
      </c>
      <c r="E129" s="7">
        <v>0</v>
      </c>
      <c r="F129" s="7">
        <v>3474</v>
      </c>
      <c r="G129" s="7">
        <f t="shared" si="22"/>
        <v>173.70000000000002</v>
      </c>
      <c r="H129" s="7">
        <v>10</v>
      </c>
      <c r="I129" s="12">
        <f t="shared" si="23"/>
        <v>25.886555089305229</v>
      </c>
      <c r="J129" s="7">
        <f t="shared" si="21"/>
        <v>286</v>
      </c>
      <c r="K129" s="7">
        <f t="shared" si="17"/>
        <v>0</v>
      </c>
      <c r="L129" s="7">
        <f t="shared" si="18"/>
        <v>704.65614303425923</v>
      </c>
      <c r="M129" s="13">
        <f t="shared" si="19"/>
        <v>2769.343856965741</v>
      </c>
    </row>
    <row r="130" spans="1:13" x14ac:dyDescent="0.15">
      <c r="A130" s="10">
        <v>128</v>
      </c>
      <c r="B130" s="7" t="s">
        <v>16</v>
      </c>
      <c r="C130" s="7" t="s">
        <v>16</v>
      </c>
      <c r="D130" s="11">
        <f t="shared" si="20"/>
        <v>42909</v>
      </c>
      <c r="E130" s="7">
        <v>1200</v>
      </c>
      <c r="F130" s="7">
        <v>0</v>
      </c>
      <c r="G130" s="7">
        <f t="shared" si="22"/>
        <v>60</v>
      </c>
      <c r="H130" s="7">
        <v>10</v>
      </c>
      <c r="I130" s="12">
        <f t="shared" si="23"/>
        <v>25.886555089305229</v>
      </c>
      <c r="J130" s="7">
        <f t="shared" si="21"/>
        <v>281</v>
      </c>
      <c r="K130" s="7">
        <f t="shared" si="17"/>
        <v>239.14921578393762</v>
      </c>
      <c r="L130" s="7">
        <f t="shared" si="18"/>
        <v>0</v>
      </c>
      <c r="M130" s="13">
        <f t="shared" si="19"/>
        <v>960.85078421606238</v>
      </c>
    </row>
    <row r="131" spans="1:13" x14ac:dyDescent="0.15">
      <c r="A131" s="10">
        <v>129</v>
      </c>
      <c r="B131" s="7" t="s">
        <v>16</v>
      </c>
      <c r="C131" s="7" t="s">
        <v>16</v>
      </c>
      <c r="D131" s="11">
        <f t="shared" si="20"/>
        <v>42914</v>
      </c>
      <c r="E131" s="7">
        <v>0</v>
      </c>
      <c r="F131" s="7">
        <v>14250</v>
      </c>
      <c r="G131" s="7">
        <f t="shared" si="22"/>
        <v>712.5</v>
      </c>
      <c r="H131" s="7">
        <v>10</v>
      </c>
      <c r="I131" s="12">
        <f t="shared" si="23"/>
        <v>25.886555089305229</v>
      </c>
      <c r="J131" s="7">
        <f t="shared" ref="J131:J138" si="25">$I$1-D131</f>
        <v>276</v>
      </c>
      <c r="K131" s="7">
        <f t="shared" si="17"/>
        <v>0</v>
      </c>
      <c r="L131" s="7">
        <f t="shared" si="18"/>
        <v>2789.3649634585609</v>
      </c>
      <c r="M131" s="13">
        <f t="shared" si="19"/>
        <v>11460.63503654144</v>
      </c>
    </row>
    <row r="132" spans="1:13" x14ac:dyDescent="0.15">
      <c r="A132" s="10">
        <v>130</v>
      </c>
      <c r="B132" s="7" t="s">
        <v>16</v>
      </c>
      <c r="C132" s="7" t="s">
        <v>16</v>
      </c>
      <c r="D132" s="11">
        <f t="shared" si="20"/>
        <v>42919</v>
      </c>
      <c r="E132" s="7">
        <v>0</v>
      </c>
      <c r="F132" s="7">
        <v>261918</v>
      </c>
      <c r="G132" s="7">
        <f t="shared" ref="G132:G137" si="26">(F132+E132)*5%</f>
        <v>13095.900000000001</v>
      </c>
      <c r="H132" s="7">
        <v>10</v>
      </c>
      <c r="I132" s="12">
        <f t="shared" ref="I132:I137" si="27">(1-(G132/(F132+E132))^(1/H132))*100</f>
        <v>25.886555089305229</v>
      </c>
      <c r="J132" s="7">
        <f t="shared" si="25"/>
        <v>271</v>
      </c>
      <c r="K132" s="7">
        <f t="shared" si="17"/>
        <v>0</v>
      </c>
      <c r="L132" s="7">
        <f t="shared" si="18"/>
        <v>50340.326943113847</v>
      </c>
      <c r="M132" s="13">
        <f t="shared" si="19"/>
        <v>211577.67305688615</v>
      </c>
    </row>
    <row r="133" spans="1:13" x14ac:dyDescent="0.15">
      <c r="A133" s="10">
        <v>131</v>
      </c>
      <c r="B133" s="7" t="s">
        <v>16</v>
      </c>
      <c r="C133" s="7" t="s">
        <v>16</v>
      </c>
      <c r="D133" s="11">
        <f t="shared" ref="D133:D138" si="28">D132+5</f>
        <v>42924</v>
      </c>
      <c r="E133" s="7">
        <v>0</v>
      </c>
      <c r="F133" s="7">
        <v>520047</v>
      </c>
      <c r="G133" s="7">
        <f t="shared" si="26"/>
        <v>26002.350000000002</v>
      </c>
      <c r="H133" s="7">
        <v>10</v>
      </c>
      <c r="I133" s="12">
        <f t="shared" si="27"/>
        <v>25.886555089305229</v>
      </c>
      <c r="J133" s="7">
        <f t="shared" si="25"/>
        <v>266</v>
      </c>
      <c r="K133" s="7">
        <f t="shared" ref="K133:K138" si="29">(E133)*I133%*J133/$J$1</f>
        <v>0</v>
      </c>
      <c r="L133" s="7">
        <f t="shared" ref="L133:L138" si="30">(F133)*I133%*J133/$J$1</f>
        <v>98108.272155189741</v>
      </c>
      <c r="M133" s="13">
        <f t="shared" ref="M133:M138" si="31">F133+E133-L133-K133</f>
        <v>421938.72784481023</v>
      </c>
    </row>
    <row r="134" spans="1:13" x14ac:dyDescent="0.15">
      <c r="A134" s="10">
        <v>132</v>
      </c>
      <c r="B134" s="7" t="s">
        <v>16</v>
      </c>
      <c r="C134" s="7" t="s">
        <v>16</v>
      </c>
      <c r="D134" s="11">
        <f t="shared" si="28"/>
        <v>42929</v>
      </c>
      <c r="E134" s="7">
        <v>1253959.5</v>
      </c>
      <c r="F134" s="7">
        <v>0</v>
      </c>
      <c r="G134" s="7">
        <f t="shared" si="26"/>
        <v>62697.975000000006</v>
      </c>
      <c r="H134" s="7">
        <v>10</v>
      </c>
      <c r="I134" s="12">
        <f t="shared" si="27"/>
        <v>25.886555089305229</v>
      </c>
      <c r="J134" s="7">
        <f t="shared" si="25"/>
        <v>261</v>
      </c>
      <c r="K134" s="7">
        <f t="shared" si="29"/>
        <v>232116.17883749297</v>
      </c>
      <c r="L134" s="7">
        <f t="shared" si="30"/>
        <v>0</v>
      </c>
      <c r="M134" s="13">
        <f t="shared" si="31"/>
        <v>1021843.3211625071</v>
      </c>
    </row>
    <row r="135" spans="1:13" x14ac:dyDescent="0.15">
      <c r="A135" s="10">
        <v>133</v>
      </c>
      <c r="B135" s="7" t="s">
        <v>16</v>
      </c>
      <c r="C135" s="7" t="s">
        <v>16</v>
      </c>
      <c r="D135" s="11">
        <f t="shared" si="28"/>
        <v>42934</v>
      </c>
      <c r="E135" s="7">
        <v>0</v>
      </c>
      <c r="F135" s="7">
        <v>261918</v>
      </c>
      <c r="G135" s="7">
        <f t="shared" si="26"/>
        <v>13095.900000000001</v>
      </c>
      <c r="H135" s="7">
        <v>10</v>
      </c>
      <c r="I135" s="12">
        <f t="shared" si="27"/>
        <v>25.886555089305229</v>
      </c>
      <c r="J135" s="7">
        <f t="shared" si="25"/>
        <v>256</v>
      </c>
      <c r="K135" s="7">
        <f t="shared" si="29"/>
        <v>0</v>
      </c>
      <c r="L135" s="7">
        <f t="shared" si="30"/>
        <v>47553.961983162902</v>
      </c>
      <c r="M135" s="13">
        <f t="shared" si="31"/>
        <v>214364.03801683709</v>
      </c>
    </row>
    <row r="136" spans="1:13" x14ac:dyDescent="0.15">
      <c r="A136" s="10">
        <v>134</v>
      </c>
      <c r="B136" s="7" t="s">
        <v>16</v>
      </c>
      <c r="C136" s="7" t="s">
        <v>16</v>
      </c>
      <c r="D136" s="11">
        <f t="shared" si="28"/>
        <v>42939</v>
      </c>
      <c r="E136" s="7">
        <v>0</v>
      </c>
      <c r="F136" s="7">
        <v>520047</v>
      </c>
      <c r="G136" s="7">
        <f t="shared" si="26"/>
        <v>26002.350000000002</v>
      </c>
      <c r="H136" s="7">
        <v>10</v>
      </c>
      <c r="I136" s="12">
        <f t="shared" si="27"/>
        <v>25.886555089305229</v>
      </c>
      <c r="J136" s="7">
        <f t="shared" si="25"/>
        <v>251</v>
      </c>
      <c r="K136" s="7">
        <f t="shared" si="29"/>
        <v>0</v>
      </c>
      <c r="L136" s="7">
        <f t="shared" si="30"/>
        <v>92575.850793054982</v>
      </c>
      <c r="M136" s="13">
        <f t="shared" si="31"/>
        <v>427471.14920694503</v>
      </c>
    </row>
    <row r="137" spans="1:13" x14ac:dyDescent="0.15">
      <c r="A137" s="10">
        <v>135</v>
      </c>
      <c r="B137" s="7" t="s">
        <v>16</v>
      </c>
      <c r="C137" s="7" t="s">
        <v>16</v>
      </c>
      <c r="D137" s="11">
        <f t="shared" si="28"/>
        <v>42944</v>
      </c>
      <c r="E137" s="7">
        <v>1253959.5</v>
      </c>
      <c r="F137" s="7">
        <v>0</v>
      </c>
      <c r="G137" s="7">
        <f t="shared" si="26"/>
        <v>62697.975000000006</v>
      </c>
      <c r="H137" s="7">
        <v>10</v>
      </c>
      <c r="I137" s="12">
        <f t="shared" si="27"/>
        <v>25.886555089305229</v>
      </c>
      <c r="J137" s="7">
        <f t="shared" si="25"/>
        <v>246</v>
      </c>
      <c r="K137" s="7">
        <f t="shared" si="29"/>
        <v>218776.16855947615</v>
      </c>
      <c r="L137" s="7">
        <f t="shared" si="30"/>
        <v>0</v>
      </c>
      <c r="M137" s="13">
        <f t="shared" si="31"/>
        <v>1035183.3314405238</v>
      </c>
    </row>
    <row r="138" spans="1:13" ht="11.25" thickBot="1" x14ac:dyDescent="0.2">
      <c r="A138" s="14">
        <v>136</v>
      </c>
      <c r="B138" s="15" t="s">
        <v>16</v>
      </c>
      <c r="C138" s="15" t="s">
        <v>16</v>
      </c>
      <c r="D138" s="16">
        <f t="shared" si="28"/>
        <v>42949</v>
      </c>
      <c r="E138" s="15">
        <v>0</v>
      </c>
      <c r="F138" s="15">
        <v>103758</v>
      </c>
      <c r="G138" s="15">
        <f>F138*5%</f>
        <v>5187.9000000000005</v>
      </c>
      <c r="H138" s="15">
        <v>10</v>
      </c>
      <c r="I138" s="17">
        <f>(1-(G138/F138)^(1/H138))*100</f>
        <v>25.886555089305229</v>
      </c>
      <c r="J138" s="15">
        <f t="shared" si="25"/>
        <v>241</v>
      </c>
      <c r="K138" s="15">
        <f t="shared" si="29"/>
        <v>0</v>
      </c>
      <c r="L138" s="15">
        <f t="shared" si="30"/>
        <v>17734.54413951857</v>
      </c>
      <c r="M138" s="18">
        <f t="shared" si="31"/>
        <v>86023.455860481423</v>
      </c>
    </row>
    <row r="139" spans="1:13" ht="11.25" thickBot="1" x14ac:dyDescent="0.2">
      <c r="E139" s="184">
        <v>5871286.5</v>
      </c>
      <c r="F139" s="184">
        <f t="shared" ref="F139:L139" si="32">SUM(F3:F138)</f>
        <v>9724417</v>
      </c>
      <c r="G139" s="184">
        <f t="shared" si="32"/>
        <v>779785.17500000016</v>
      </c>
      <c r="H139" s="184"/>
      <c r="I139" s="184">
        <f t="shared" si="32"/>
        <v>3795.6423228178019</v>
      </c>
      <c r="J139" s="184"/>
      <c r="K139" s="184">
        <f t="shared" si="32"/>
        <v>909050.49623475864</v>
      </c>
      <c r="L139" s="184">
        <f t="shared" si="32"/>
        <v>1713488.3558062576</v>
      </c>
      <c r="M139" s="184">
        <f>SUM(M3:M138)</f>
        <v>12973164.647958983</v>
      </c>
    </row>
    <row r="140" spans="1:13" x14ac:dyDescent="0.15">
      <c r="A140" s="189"/>
      <c r="B140" s="190"/>
      <c r="C140" s="191">
        <v>43555</v>
      </c>
      <c r="D140" s="190"/>
      <c r="E140" s="190"/>
      <c r="F140" s="190"/>
      <c r="G140" s="190"/>
      <c r="H140" s="190"/>
      <c r="I140" s="190"/>
      <c r="J140" s="190"/>
      <c r="K140" s="190"/>
      <c r="L140" s="190"/>
      <c r="M140" s="192"/>
    </row>
    <row r="141" spans="1:13" x14ac:dyDescent="0.15">
      <c r="A141" s="193">
        <v>1</v>
      </c>
      <c r="B141" s="194"/>
      <c r="C141" s="194" t="s">
        <v>10</v>
      </c>
      <c r="D141" s="195">
        <v>43377</v>
      </c>
      <c r="E141" s="194"/>
      <c r="F141" s="194">
        <f>445500</f>
        <v>445500</v>
      </c>
      <c r="G141" s="194">
        <f>F141*5%</f>
        <v>22275</v>
      </c>
      <c r="H141" s="194">
        <v>60</v>
      </c>
      <c r="I141" s="196">
        <f t="shared" ref="I141:I147" si="33">(1-(G141/(F141+E141))^(1/H141))*100</f>
        <v>4.8702913310097458</v>
      </c>
      <c r="J141" s="194">
        <f>$C$140-D141</f>
        <v>178</v>
      </c>
      <c r="K141" s="194">
        <f t="shared" ref="K141" si="34">(E141)*I141%*J141/$J$1</f>
        <v>0</v>
      </c>
      <c r="L141" s="194">
        <f t="shared" ref="L141" si="35">(F141)*I141%*J141/$J$1</f>
        <v>10581.074856376486</v>
      </c>
      <c r="M141" s="197">
        <f t="shared" ref="M141" si="36">F141+E141-L141-K141</f>
        <v>434918.92514362349</v>
      </c>
    </row>
    <row r="142" spans="1:13" x14ac:dyDescent="0.15">
      <c r="A142" s="193">
        <v>2</v>
      </c>
      <c r="B142" s="194"/>
      <c r="C142" s="194" t="s">
        <v>11</v>
      </c>
      <c r="D142" s="195">
        <f>D141+35</f>
        <v>43412</v>
      </c>
      <c r="E142" s="194"/>
      <c r="F142" s="194">
        <v>3475349</v>
      </c>
      <c r="G142" s="194">
        <f t="shared" ref="G142:G147" si="37">F142*5%</f>
        <v>173767.45</v>
      </c>
      <c r="H142" s="194">
        <v>15</v>
      </c>
      <c r="I142" s="196">
        <f t="shared" si="33"/>
        <v>18.103627252208465</v>
      </c>
      <c r="J142" s="194">
        <f t="shared" ref="J142:J147" si="38">$C$140-D142</f>
        <v>143</v>
      </c>
      <c r="K142" s="194">
        <f t="shared" ref="K142:K146" si="39">(E142)*I142%*J142/$J$1</f>
        <v>0</v>
      </c>
      <c r="L142" s="194">
        <f t="shared" ref="L142:L146" si="40">(F142)*I142%*J142/$J$1</f>
        <v>246494.47863093062</v>
      </c>
      <c r="M142" s="197">
        <f t="shared" ref="M142:M146" si="41">F142+E142-L142-K142</f>
        <v>3228854.5213690693</v>
      </c>
    </row>
    <row r="143" spans="1:13" x14ac:dyDescent="0.15">
      <c r="A143" s="193">
        <v>3</v>
      </c>
      <c r="B143" s="194"/>
      <c r="C143" s="194" t="s">
        <v>12</v>
      </c>
      <c r="D143" s="195">
        <f t="shared" ref="D143:D146" si="42">D142+35</f>
        <v>43447</v>
      </c>
      <c r="E143" s="194"/>
      <c r="F143" s="194">
        <v>47643</v>
      </c>
      <c r="G143" s="194">
        <f t="shared" si="37"/>
        <v>2382.15</v>
      </c>
      <c r="H143" s="194">
        <v>10</v>
      </c>
      <c r="I143" s="196">
        <f t="shared" si="33"/>
        <v>25.886555089305229</v>
      </c>
      <c r="J143" s="194">
        <f t="shared" si="38"/>
        <v>108</v>
      </c>
      <c r="K143" s="194">
        <f t="shared" si="39"/>
        <v>0</v>
      </c>
      <c r="L143" s="194">
        <f t="shared" si="40"/>
        <v>3649.2553305461656</v>
      </c>
      <c r="M143" s="197">
        <f t="shared" si="41"/>
        <v>43993.744669453838</v>
      </c>
    </row>
    <row r="144" spans="1:13" x14ac:dyDescent="0.15">
      <c r="A144" s="193">
        <v>4</v>
      </c>
      <c r="B144" s="194"/>
      <c r="C144" s="194" t="s">
        <v>13</v>
      </c>
      <c r="D144" s="195">
        <f t="shared" si="42"/>
        <v>43482</v>
      </c>
      <c r="E144" s="194"/>
      <c r="F144" s="194">
        <v>234758</v>
      </c>
      <c r="G144" s="194">
        <f t="shared" si="37"/>
        <v>11737.900000000001</v>
      </c>
      <c r="H144" s="194">
        <v>10</v>
      </c>
      <c r="I144" s="196">
        <f t="shared" si="33"/>
        <v>25.886555089305229</v>
      </c>
      <c r="J144" s="194">
        <f t="shared" si="38"/>
        <v>73</v>
      </c>
      <c r="K144" s="194">
        <f t="shared" si="39"/>
        <v>0</v>
      </c>
      <c r="L144" s="194">
        <f t="shared" si="40"/>
        <v>12154.151799310233</v>
      </c>
      <c r="M144" s="197">
        <f t="shared" si="41"/>
        <v>222603.84820068977</v>
      </c>
    </row>
    <row r="145" spans="1:13" x14ac:dyDescent="0.15">
      <c r="A145" s="193">
        <v>5</v>
      </c>
      <c r="B145" s="194"/>
      <c r="C145" s="194" t="s">
        <v>14</v>
      </c>
      <c r="D145" s="195">
        <f t="shared" si="42"/>
        <v>43517</v>
      </c>
      <c r="E145" s="194"/>
      <c r="F145" s="194">
        <v>8674385</v>
      </c>
      <c r="G145" s="194">
        <f t="shared" si="37"/>
        <v>433719.25</v>
      </c>
      <c r="H145" s="194">
        <v>5</v>
      </c>
      <c r="I145" s="196">
        <f t="shared" si="33"/>
        <v>45.071972834694108</v>
      </c>
      <c r="J145" s="194">
        <f t="shared" si="38"/>
        <v>38</v>
      </c>
      <c r="K145" s="194">
        <f t="shared" si="39"/>
        <v>0</v>
      </c>
      <c r="L145" s="194">
        <f t="shared" si="40"/>
        <v>407038.97295758256</v>
      </c>
      <c r="M145" s="197">
        <f t="shared" si="41"/>
        <v>8267346.0270424178</v>
      </c>
    </row>
    <row r="146" spans="1:13" x14ac:dyDescent="0.15">
      <c r="A146" s="193">
        <v>6</v>
      </c>
      <c r="B146" s="194"/>
      <c r="C146" s="194" t="s">
        <v>15</v>
      </c>
      <c r="D146" s="195">
        <f t="shared" si="42"/>
        <v>43552</v>
      </c>
      <c r="E146" s="194"/>
      <c r="F146" s="194">
        <v>45673</v>
      </c>
      <c r="G146" s="194">
        <f t="shared" si="37"/>
        <v>2283.65</v>
      </c>
      <c r="H146" s="194">
        <v>6</v>
      </c>
      <c r="I146" s="196">
        <f t="shared" si="33"/>
        <v>39.303776899708275</v>
      </c>
      <c r="J146" s="194">
        <f t="shared" si="38"/>
        <v>3</v>
      </c>
      <c r="K146" s="194">
        <f t="shared" si="39"/>
        <v>0</v>
      </c>
      <c r="L146" s="194">
        <f t="shared" si="40"/>
        <v>147.54422484989391</v>
      </c>
      <c r="M146" s="197">
        <f t="shared" si="41"/>
        <v>45525.455775150105</v>
      </c>
    </row>
    <row r="147" spans="1:13" ht="11.25" thickBot="1" x14ac:dyDescent="0.2">
      <c r="A147" s="193">
        <v>7</v>
      </c>
      <c r="B147" s="194"/>
      <c r="C147" s="194" t="s">
        <v>16</v>
      </c>
      <c r="D147" s="195">
        <v>43555</v>
      </c>
      <c r="E147" s="194"/>
      <c r="F147" s="194">
        <v>5435968</v>
      </c>
      <c r="G147" s="194">
        <f t="shared" si="37"/>
        <v>271798.40000000002</v>
      </c>
      <c r="H147" s="194">
        <v>10</v>
      </c>
      <c r="I147" s="196">
        <f t="shared" si="33"/>
        <v>25.886555089305229</v>
      </c>
      <c r="J147" s="194">
        <f t="shared" si="38"/>
        <v>0</v>
      </c>
      <c r="K147" s="194">
        <f t="shared" ref="K147" si="43">(E147)*I147%*J147/$J$1</f>
        <v>0</v>
      </c>
      <c r="L147" s="194">
        <f t="shared" ref="L147" si="44">(F147)*I147%*J147/$J$1</f>
        <v>0</v>
      </c>
      <c r="M147" s="197">
        <f t="shared" ref="M147" si="45">F147+E147-L147-K147</f>
        <v>5435968</v>
      </c>
    </row>
    <row r="148" spans="1:13" ht="15.75" thickBot="1" x14ac:dyDescent="0.3">
      <c r="A148" s="198"/>
      <c r="B148" s="199"/>
      <c r="C148" s="200"/>
      <c r="D148" s="199"/>
      <c r="E148" s="201">
        <f t="shared" ref="E148" si="46">SUM(E141:E147)</f>
        <v>0</v>
      </c>
      <c r="F148" s="201">
        <f>SUM(F141:F147)</f>
        <v>18359276</v>
      </c>
      <c r="G148" s="201">
        <f t="shared" ref="G148" si="47">SUM(G141:G147)</f>
        <v>917963.8</v>
      </c>
      <c r="H148" s="201"/>
      <c r="I148" s="201"/>
      <c r="J148" s="201"/>
      <c r="K148" s="201">
        <f t="shared" ref="K148" si="48">SUM(K141:K147)</f>
        <v>0</v>
      </c>
      <c r="L148" s="201">
        <f t="shared" ref="L148" si="49">SUM(L141:L147)</f>
        <v>680065.47779959603</v>
      </c>
      <c r="M148" s="201">
        <f t="shared" ref="M148" si="50">SUM(M141:M147)</f>
        <v>17679210.522200406</v>
      </c>
    </row>
    <row r="149" spans="1:13" ht="15.75" thickBot="1" x14ac:dyDescent="0.3">
      <c r="C149"/>
    </row>
    <row r="150" spans="1:13" x14ac:dyDescent="0.15">
      <c r="A150" s="25"/>
      <c r="B150" s="185"/>
      <c r="C150" s="186">
        <v>43921</v>
      </c>
      <c r="D150" s="185"/>
      <c r="E150" s="185"/>
      <c r="F150" s="185"/>
      <c r="G150" s="185"/>
      <c r="H150" s="185"/>
      <c r="I150" s="185"/>
      <c r="J150" s="185"/>
      <c r="K150" s="185"/>
      <c r="L150" s="185"/>
      <c r="M150" s="187"/>
    </row>
    <row r="151" spans="1:13" x14ac:dyDescent="0.15">
      <c r="A151" s="10">
        <v>1</v>
      </c>
      <c r="B151" s="7"/>
      <c r="C151" s="7" t="s">
        <v>10</v>
      </c>
      <c r="D151" s="11">
        <v>43589</v>
      </c>
      <c r="E151" s="7"/>
      <c r="F151" s="7">
        <v>34534</v>
      </c>
      <c r="G151" s="7">
        <f>F151*5%</f>
        <v>1726.7</v>
      </c>
      <c r="H151" s="7">
        <v>60</v>
      </c>
      <c r="I151" s="12">
        <f t="shared" ref="I151:I157" si="51">(1-(G151/(F151+E151))^(1/H151))*100</f>
        <v>4.8702913310097458</v>
      </c>
      <c r="J151" s="7">
        <f>$C$150-D151</f>
        <v>332</v>
      </c>
      <c r="K151" s="7">
        <f t="shared" ref="K151:K157" si="52">(E151)*I151%*J151/$J$1</f>
        <v>0</v>
      </c>
      <c r="L151" s="7">
        <f t="shared" ref="L151:L157" si="53">(F151)*I151%*J151/$J$1</f>
        <v>1529.8436370939744</v>
      </c>
      <c r="M151" s="13">
        <f t="shared" ref="M151:M157" si="54">F151+E151-L151-K151</f>
        <v>33004.156362906026</v>
      </c>
    </row>
    <row r="152" spans="1:13" x14ac:dyDescent="0.15">
      <c r="A152" s="10">
        <v>2</v>
      </c>
      <c r="B152" s="7"/>
      <c r="C152" s="7" t="s">
        <v>11</v>
      </c>
      <c r="D152" s="11">
        <f>D151+35</f>
        <v>43624</v>
      </c>
      <c r="E152" s="7"/>
      <c r="F152" s="7">
        <v>9584</v>
      </c>
      <c r="G152" s="7">
        <f t="shared" ref="G152:G157" si="55">F152*5%</f>
        <v>479.20000000000005</v>
      </c>
      <c r="H152" s="7">
        <v>15</v>
      </c>
      <c r="I152" s="12">
        <f t="shared" si="51"/>
        <v>18.103627252208465</v>
      </c>
      <c r="J152" s="7">
        <f t="shared" ref="J152:J157" si="56">$C$150-D152</f>
        <v>297</v>
      </c>
      <c r="K152" s="7">
        <f t="shared" si="52"/>
        <v>0</v>
      </c>
      <c r="L152" s="7">
        <f t="shared" si="53"/>
        <v>1411.8091393094323</v>
      </c>
      <c r="M152" s="13">
        <f t="shared" si="54"/>
        <v>8172.1908606905672</v>
      </c>
    </row>
    <row r="153" spans="1:13" x14ac:dyDescent="0.15">
      <c r="A153" s="10">
        <v>3</v>
      </c>
      <c r="B153" s="7"/>
      <c r="C153" s="7" t="s">
        <v>12</v>
      </c>
      <c r="D153" s="11">
        <f t="shared" ref="D153:D156" si="57">D152+35</f>
        <v>43659</v>
      </c>
      <c r="E153" s="7"/>
      <c r="F153" s="7">
        <v>345234</v>
      </c>
      <c r="G153" s="7">
        <f t="shared" si="55"/>
        <v>17261.7</v>
      </c>
      <c r="H153" s="7">
        <v>10</v>
      </c>
      <c r="I153" s="12">
        <f t="shared" si="51"/>
        <v>25.886555089305229</v>
      </c>
      <c r="J153" s="7">
        <f t="shared" si="56"/>
        <v>262</v>
      </c>
      <c r="K153" s="7">
        <f t="shared" si="52"/>
        <v>0</v>
      </c>
      <c r="L153" s="7">
        <f t="shared" si="53"/>
        <v>64149.938834019587</v>
      </c>
      <c r="M153" s="13">
        <f t="shared" si="54"/>
        <v>281084.06116598041</v>
      </c>
    </row>
    <row r="154" spans="1:13" x14ac:dyDescent="0.15">
      <c r="A154" s="10">
        <v>4</v>
      </c>
      <c r="B154" s="7"/>
      <c r="C154" s="7" t="s">
        <v>13</v>
      </c>
      <c r="D154" s="11">
        <f t="shared" si="57"/>
        <v>43694</v>
      </c>
      <c r="E154" s="7"/>
      <c r="F154" s="7">
        <v>895533</v>
      </c>
      <c r="G154" s="7">
        <f t="shared" si="55"/>
        <v>44776.65</v>
      </c>
      <c r="H154" s="7">
        <v>10</v>
      </c>
      <c r="I154" s="12">
        <f t="shared" si="51"/>
        <v>25.886555089305229</v>
      </c>
      <c r="J154" s="7">
        <f t="shared" si="56"/>
        <v>227</v>
      </c>
      <c r="K154" s="7">
        <f t="shared" si="52"/>
        <v>0</v>
      </c>
      <c r="L154" s="7">
        <f t="shared" si="53"/>
        <v>144174.63027138376</v>
      </c>
      <c r="M154" s="13">
        <f t="shared" si="54"/>
        <v>751358.36972861621</v>
      </c>
    </row>
    <row r="155" spans="1:13" x14ac:dyDescent="0.15">
      <c r="A155" s="10">
        <v>5</v>
      </c>
      <c r="B155" s="7"/>
      <c r="C155" s="7" t="s">
        <v>14</v>
      </c>
      <c r="D155" s="11">
        <f t="shared" si="57"/>
        <v>43729</v>
      </c>
      <c r="E155" s="7"/>
      <c r="F155" s="7">
        <v>89657</v>
      </c>
      <c r="G155" s="7">
        <f t="shared" si="55"/>
        <v>4482.8500000000004</v>
      </c>
      <c r="H155" s="7">
        <v>5</v>
      </c>
      <c r="I155" s="12">
        <f t="shared" si="51"/>
        <v>45.071972834694108</v>
      </c>
      <c r="J155" s="7">
        <f t="shared" si="56"/>
        <v>192</v>
      </c>
      <c r="K155" s="7">
        <f t="shared" si="52"/>
        <v>0</v>
      </c>
      <c r="L155" s="7">
        <f t="shared" si="53"/>
        <v>21256.861116178425</v>
      </c>
      <c r="M155" s="13">
        <f t="shared" si="54"/>
        <v>68400.138883821579</v>
      </c>
    </row>
    <row r="156" spans="1:13" x14ac:dyDescent="0.15">
      <c r="A156" s="10">
        <v>6</v>
      </c>
      <c r="B156" s="7"/>
      <c r="C156" s="7" t="s">
        <v>15</v>
      </c>
      <c r="D156" s="11">
        <f t="shared" si="57"/>
        <v>43764</v>
      </c>
      <c r="E156" s="7"/>
      <c r="F156" s="7">
        <v>462313</v>
      </c>
      <c r="G156" s="7">
        <f t="shared" si="55"/>
        <v>23115.65</v>
      </c>
      <c r="H156" s="7">
        <v>6</v>
      </c>
      <c r="I156" s="12">
        <f t="shared" si="51"/>
        <v>39.303776899708275</v>
      </c>
      <c r="J156" s="7">
        <f t="shared" si="56"/>
        <v>157</v>
      </c>
      <c r="K156" s="7">
        <f t="shared" si="52"/>
        <v>0</v>
      </c>
      <c r="L156" s="7">
        <f t="shared" si="53"/>
        <v>78158.673439563529</v>
      </c>
      <c r="M156" s="13">
        <f t="shared" si="54"/>
        <v>384154.32656043646</v>
      </c>
    </row>
    <row r="157" spans="1:13" ht="11.25" thickBot="1" x14ac:dyDescent="0.2">
      <c r="A157" s="10">
        <v>7</v>
      </c>
      <c r="B157" s="7"/>
      <c r="C157" s="7" t="s">
        <v>16</v>
      </c>
      <c r="D157" s="11">
        <v>43921</v>
      </c>
      <c r="E157" s="7"/>
      <c r="F157" s="7">
        <v>59697</v>
      </c>
      <c r="G157" s="7">
        <f t="shared" si="55"/>
        <v>2984.8500000000004</v>
      </c>
      <c r="H157" s="7">
        <v>10</v>
      </c>
      <c r="I157" s="12">
        <f t="shared" si="51"/>
        <v>25.886555089305229</v>
      </c>
      <c r="J157" s="7">
        <f t="shared" si="56"/>
        <v>0</v>
      </c>
      <c r="K157" s="7">
        <f t="shared" si="52"/>
        <v>0</v>
      </c>
      <c r="L157" s="7">
        <f t="shared" si="53"/>
        <v>0</v>
      </c>
      <c r="M157" s="13">
        <f t="shared" si="54"/>
        <v>59697</v>
      </c>
    </row>
    <row r="158" spans="1:13" ht="15.75" thickBot="1" x14ac:dyDescent="0.3">
      <c r="A158" s="14"/>
      <c r="B158" s="15"/>
      <c r="C158" s="188"/>
      <c r="D158" s="15"/>
      <c r="E158" s="19">
        <f t="shared" ref="E158" si="58">SUM(E149:E157)</f>
        <v>0</v>
      </c>
      <c r="F158" s="19">
        <f t="shared" ref="F158" si="59">SUM(F149:F157)</f>
        <v>1896552</v>
      </c>
      <c r="G158" s="19">
        <f t="shared" ref="G158" si="60">SUM(G149:G157)</f>
        <v>94827.6</v>
      </c>
      <c r="H158" s="19"/>
      <c r="I158" s="19"/>
      <c r="J158" s="19"/>
      <c r="K158" s="19">
        <f t="shared" ref="K158" si="61">SUM(K151:K157)</f>
        <v>0</v>
      </c>
      <c r="L158" s="19">
        <f t="shared" ref="L158" si="62">SUM(L151:L157)</f>
        <v>310681.75643754873</v>
      </c>
      <c r="M158" s="19">
        <f t="shared" ref="M158" si="63">SUM(M151:M157)</f>
        <v>1585870.2435624513</v>
      </c>
    </row>
    <row r="159" spans="1:13" x14ac:dyDescent="0.15">
      <c r="A159" s="189"/>
      <c r="B159" s="190"/>
      <c r="C159" s="191">
        <v>44286</v>
      </c>
      <c r="D159" s="190"/>
      <c r="E159" s="190"/>
      <c r="F159" s="190"/>
      <c r="G159" s="190"/>
      <c r="H159" s="190"/>
      <c r="I159" s="190"/>
      <c r="J159" s="190"/>
      <c r="K159" s="190"/>
      <c r="L159" s="190"/>
      <c r="M159" s="192"/>
    </row>
    <row r="160" spans="1:13" x14ac:dyDescent="0.15">
      <c r="A160" s="193">
        <v>1</v>
      </c>
      <c r="B160" s="194"/>
      <c r="C160" s="194" t="s">
        <v>10</v>
      </c>
      <c r="D160" s="195">
        <v>44081</v>
      </c>
      <c r="E160" s="194"/>
      <c r="F160" s="194">
        <v>8794</v>
      </c>
      <c r="G160" s="194">
        <f>F160*5%</f>
        <v>439.70000000000005</v>
      </c>
      <c r="H160" s="194">
        <v>60</v>
      </c>
      <c r="I160" s="196">
        <f t="shared" ref="I160:I166" si="64">(1-(G160/(F160+E160))^(1/H160))*100</f>
        <v>4.8702913310097458</v>
      </c>
      <c r="J160" s="194">
        <f>$C$159-D160</f>
        <v>205</v>
      </c>
      <c r="K160" s="194">
        <f t="shared" ref="K160:K166" si="65">(E160)*I160%*J160/$J$1</f>
        <v>0</v>
      </c>
      <c r="L160" s="194">
        <f t="shared" ref="L160:L166" si="66">(F160)*I160%*J160/$J$1</f>
        <v>240.54835898094353</v>
      </c>
      <c r="M160" s="197">
        <f t="shared" ref="M160:M166" si="67">F160+E160-L160-K160</f>
        <v>8553.4516410190572</v>
      </c>
    </row>
    <row r="161" spans="1:13" x14ac:dyDescent="0.15">
      <c r="A161" s="193">
        <v>2</v>
      </c>
      <c r="B161" s="194"/>
      <c r="C161" s="194" t="s">
        <v>11</v>
      </c>
      <c r="D161" s="195">
        <f>D160+35</f>
        <v>44116</v>
      </c>
      <c r="E161" s="194"/>
      <c r="F161" s="194">
        <v>9584</v>
      </c>
      <c r="G161" s="194">
        <f t="shared" ref="G161:G166" si="68">F161*5%</f>
        <v>479.20000000000005</v>
      </c>
      <c r="H161" s="194">
        <v>15</v>
      </c>
      <c r="I161" s="196">
        <f t="shared" si="64"/>
        <v>18.103627252208465</v>
      </c>
      <c r="J161" s="194">
        <f t="shared" ref="J161:J166" si="69">$C$159-D161</f>
        <v>170</v>
      </c>
      <c r="K161" s="194">
        <f t="shared" si="65"/>
        <v>0</v>
      </c>
      <c r="L161" s="194">
        <f t="shared" si="66"/>
        <v>808.10624135556736</v>
      </c>
      <c r="M161" s="197">
        <f t="shared" si="67"/>
        <v>8775.8937586444335</v>
      </c>
    </row>
    <row r="162" spans="1:13" x14ac:dyDescent="0.15">
      <c r="A162" s="193">
        <v>3</v>
      </c>
      <c r="B162" s="194"/>
      <c r="C162" s="194" t="s">
        <v>12</v>
      </c>
      <c r="D162" s="195">
        <f t="shared" ref="D162:D165" si="70">D161+35</f>
        <v>44151</v>
      </c>
      <c r="E162" s="194"/>
      <c r="F162" s="194">
        <v>486438</v>
      </c>
      <c r="G162" s="194">
        <f t="shared" si="68"/>
        <v>24321.9</v>
      </c>
      <c r="H162" s="194">
        <v>10</v>
      </c>
      <c r="I162" s="196">
        <f t="shared" si="64"/>
        <v>25.886555089305229</v>
      </c>
      <c r="J162" s="194">
        <f t="shared" si="69"/>
        <v>135</v>
      </c>
      <c r="K162" s="194">
        <f t="shared" si="65"/>
        <v>0</v>
      </c>
      <c r="L162" s="194">
        <f t="shared" si="66"/>
        <v>46573.90551813005</v>
      </c>
      <c r="M162" s="197">
        <f t="shared" si="67"/>
        <v>439864.09448186995</v>
      </c>
    </row>
    <row r="163" spans="1:13" x14ac:dyDescent="0.15">
      <c r="A163" s="193">
        <v>4</v>
      </c>
      <c r="B163" s="194"/>
      <c r="C163" s="194" t="s">
        <v>13</v>
      </c>
      <c r="D163" s="195">
        <f t="shared" si="70"/>
        <v>44186</v>
      </c>
      <c r="E163" s="194"/>
      <c r="F163" s="194">
        <v>895533</v>
      </c>
      <c r="G163" s="194">
        <f t="shared" si="68"/>
        <v>44776.65</v>
      </c>
      <c r="H163" s="194">
        <v>10</v>
      </c>
      <c r="I163" s="196">
        <f t="shared" si="64"/>
        <v>25.886555089305229</v>
      </c>
      <c r="J163" s="194">
        <f t="shared" si="69"/>
        <v>100</v>
      </c>
      <c r="K163" s="194">
        <f t="shared" si="65"/>
        <v>0</v>
      </c>
      <c r="L163" s="194">
        <f t="shared" si="66"/>
        <v>63513.052982988433</v>
      </c>
      <c r="M163" s="197">
        <f t="shared" si="67"/>
        <v>832019.94701701158</v>
      </c>
    </row>
    <row r="164" spans="1:13" x14ac:dyDescent="0.15">
      <c r="A164" s="193">
        <v>5</v>
      </c>
      <c r="B164" s="194"/>
      <c r="C164" s="194" t="s">
        <v>14</v>
      </c>
      <c r="D164" s="195">
        <f t="shared" si="70"/>
        <v>44221</v>
      </c>
      <c r="E164" s="194"/>
      <c r="F164" s="194">
        <v>89657</v>
      </c>
      <c r="G164" s="194">
        <f t="shared" si="68"/>
        <v>4482.8500000000004</v>
      </c>
      <c r="H164" s="194">
        <v>5</v>
      </c>
      <c r="I164" s="196">
        <f t="shared" si="64"/>
        <v>45.071972834694108</v>
      </c>
      <c r="J164" s="194">
        <f t="shared" si="69"/>
        <v>65</v>
      </c>
      <c r="K164" s="194">
        <f t="shared" si="65"/>
        <v>0</v>
      </c>
      <c r="L164" s="194">
        <f t="shared" si="66"/>
        <v>7196.3331903729049</v>
      </c>
      <c r="M164" s="197">
        <f t="shared" si="67"/>
        <v>82460.666809627088</v>
      </c>
    </row>
    <row r="165" spans="1:13" x14ac:dyDescent="0.15">
      <c r="A165" s="193">
        <v>6</v>
      </c>
      <c r="B165" s="194"/>
      <c r="C165" s="194" t="s">
        <v>15</v>
      </c>
      <c r="D165" s="195">
        <f t="shared" si="70"/>
        <v>44256</v>
      </c>
      <c r="E165" s="194"/>
      <c r="F165" s="194">
        <v>48563</v>
      </c>
      <c r="G165" s="194">
        <f t="shared" si="68"/>
        <v>2428.15</v>
      </c>
      <c r="H165" s="194">
        <v>6</v>
      </c>
      <c r="I165" s="196">
        <f t="shared" si="64"/>
        <v>39.303776899708275</v>
      </c>
      <c r="J165" s="194">
        <f t="shared" si="69"/>
        <v>30</v>
      </c>
      <c r="K165" s="194">
        <f t="shared" si="65"/>
        <v>0</v>
      </c>
      <c r="L165" s="194">
        <f t="shared" si="66"/>
        <v>1568.8021788333147</v>
      </c>
      <c r="M165" s="197">
        <f t="shared" si="67"/>
        <v>46994.197821166686</v>
      </c>
    </row>
    <row r="166" spans="1:13" ht="11.25" thickBot="1" x14ac:dyDescent="0.2">
      <c r="A166" s="193">
        <v>7</v>
      </c>
      <c r="B166" s="194"/>
      <c r="C166" s="194" t="s">
        <v>16</v>
      </c>
      <c r="D166" s="195">
        <v>44229</v>
      </c>
      <c r="E166" s="194"/>
      <c r="F166" s="194">
        <v>59697</v>
      </c>
      <c r="G166" s="194">
        <f t="shared" si="68"/>
        <v>2984.8500000000004</v>
      </c>
      <c r="H166" s="194">
        <v>6</v>
      </c>
      <c r="I166" s="196">
        <f t="shared" si="64"/>
        <v>39.303776899708275</v>
      </c>
      <c r="J166" s="194">
        <f t="shared" si="69"/>
        <v>57</v>
      </c>
      <c r="K166" s="194">
        <f t="shared" si="65"/>
        <v>0</v>
      </c>
      <c r="L166" s="194">
        <f t="shared" si="66"/>
        <v>3664.1123689360943</v>
      </c>
      <c r="M166" s="197">
        <f t="shared" si="67"/>
        <v>56032.887631063903</v>
      </c>
    </row>
    <row r="167" spans="1:13" ht="15.75" thickBot="1" x14ac:dyDescent="0.3">
      <c r="A167" s="198"/>
      <c r="B167" s="199"/>
      <c r="C167" s="200"/>
      <c r="D167" s="199"/>
      <c r="E167" s="201">
        <f>SUM(E159:E166)</f>
        <v>0</v>
      </c>
      <c r="F167" s="201">
        <f t="shared" ref="F167:M167" si="71">SUM(F159:F166)</f>
        <v>1598266</v>
      </c>
      <c r="G167" s="201">
        <f t="shared" si="71"/>
        <v>79913.300000000017</v>
      </c>
      <c r="H167" s="201"/>
      <c r="I167" s="201"/>
      <c r="J167" s="201"/>
      <c r="K167" s="201">
        <f t="shared" si="71"/>
        <v>0</v>
      </c>
      <c r="L167" s="201">
        <f t="shared" si="71"/>
        <v>123564.8608395973</v>
      </c>
      <c r="M167" s="201">
        <f t="shared" si="71"/>
        <v>1474701.1391604026</v>
      </c>
    </row>
    <row r="168" spans="1:13" x14ac:dyDescent="0.15">
      <c r="A168" s="25"/>
      <c r="B168" s="185"/>
      <c r="C168" s="186">
        <v>44651</v>
      </c>
      <c r="D168" s="185"/>
      <c r="E168" s="185"/>
      <c r="F168" s="185"/>
      <c r="G168" s="185"/>
      <c r="H168" s="185"/>
      <c r="I168" s="185"/>
      <c r="J168" s="185"/>
      <c r="K168" s="185"/>
      <c r="L168" s="185"/>
      <c r="M168" s="187"/>
    </row>
    <row r="169" spans="1:13" x14ac:dyDescent="0.15">
      <c r="A169" s="10">
        <v>1</v>
      </c>
      <c r="B169" s="7"/>
      <c r="C169" s="7" t="s">
        <v>10</v>
      </c>
      <c r="D169" s="11">
        <v>44291</v>
      </c>
      <c r="E169" s="7"/>
      <c r="F169" s="7">
        <v>8794</v>
      </c>
      <c r="G169" s="7">
        <f>F169*5%</f>
        <v>439.70000000000005</v>
      </c>
      <c r="H169" s="7">
        <v>60</v>
      </c>
      <c r="I169" s="12">
        <f t="shared" ref="I169:I175" si="72">(1-(G169/(F169+E169))^(1/H169))*100</f>
        <v>4.8702913310097458</v>
      </c>
      <c r="J169" s="7">
        <f>$C$168-D169</f>
        <v>360</v>
      </c>
      <c r="K169" s="7">
        <f t="shared" ref="K169:K175" si="73">(E169)*I169%*J169/$J$1</f>
        <v>0</v>
      </c>
      <c r="L169" s="7">
        <f t="shared" ref="L169:L175" si="74">(F169)*I169%*J169/$J$1</f>
        <v>422.4263865031204</v>
      </c>
      <c r="M169" s="13">
        <f t="shared" ref="M169:M175" si="75">F169+E169-L169-K169</f>
        <v>8371.5736134968793</v>
      </c>
    </row>
    <row r="170" spans="1:13" x14ac:dyDescent="0.15">
      <c r="A170" s="10">
        <v>2</v>
      </c>
      <c r="B170" s="7"/>
      <c r="C170" s="7" t="s">
        <v>11</v>
      </c>
      <c r="D170" s="11">
        <f>D169+35</f>
        <v>44326</v>
      </c>
      <c r="E170" s="7"/>
      <c r="F170" s="7">
        <v>34523</v>
      </c>
      <c r="G170" s="7">
        <f t="shared" ref="G170:G175" si="76">F170*5%</f>
        <v>1726.15</v>
      </c>
      <c r="H170" s="7">
        <v>15</v>
      </c>
      <c r="I170" s="12">
        <f t="shared" si="72"/>
        <v>18.103627252208465</v>
      </c>
      <c r="J170" s="7">
        <f t="shared" ref="J170:J175" si="77">$C$168-D170</f>
        <v>325</v>
      </c>
      <c r="K170" s="7">
        <f t="shared" si="73"/>
        <v>0</v>
      </c>
      <c r="L170" s="7">
        <f t="shared" si="74"/>
        <v>5564.9930186054162</v>
      </c>
      <c r="M170" s="13">
        <f t="shared" si="75"/>
        <v>28958.006981394585</v>
      </c>
    </row>
    <row r="171" spans="1:13" x14ac:dyDescent="0.15">
      <c r="A171" s="10">
        <v>3</v>
      </c>
      <c r="B171" s="7"/>
      <c r="C171" s="7" t="s">
        <v>12</v>
      </c>
      <c r="D171" s="11">
        <f t="shared" ref="D171:D174" si="78">D170+35</f>
        <v>44361</v>
      </c>
      <c r="E171" s="7"/>
      <c r="F171" s="7">
        <v>95643</v>
      </c>
      <c r="G171" s="7">
        <f t="shared" si="76"/>
        <v>4782.1500000000005</v>
      </c>
      <c r="H171" s="7">
        <v>10</v>
      </c>
      <c r="I171" s="12">
        <f t="shared" si="72"/>
        <v>25.886555089305229</v>
      </c>
      <c r="J171" s="7">
        <f t="shared" si="77"/>
        <v>290</v>
      </c>
      <c r="K171" s="7">
        <f t="shared" si="73"/>
        <v>0</v>
      </c>
      <c r="L171" s="7">
        <f t="shared" si="74"/>
        <v>19671.278318845529</v>
      </c>
      <c r="M171" s="13">
        <f t="shared" si="75"/>
        <v>75971.721681154479</v>
      </c>
    </row>
    <row r="172" spans="1:13" x14ac:dyDescent="0.15">
      <c r="A172" s="10">
        <v>4</v>
      </c>
      <c r="B172" s="7"/>
      <c r="C172" s="7" t="s">
        <v>13</v>
      </c>
      <c r="D172" s="11">
        <f t="shared" si="78"/>
        <v>44396</v>
      </c>
      <c r="E172" s="7"/>
      <c r="F172" s="7">
        <v>45234</v>
      </c>
      <c r="G172" s="7">
        <f t="shared" si="76"/>
        <v>2261.7000000000003</v>
      </c>
      <c r="H172" s="7">
        <v>10</v>
      </c>
      <c r="I172" s="12">
        <f t="shared" si="72"/>
        <v>25.886555089305229</v>
      </c>
      <c r="J172" s="7">
        <f t="shared" si="77"/>
        <v>255</v>
      </c>
      <c r="K172" s="7">
        <f t="shared" si="73"/>
        <v>0</v>
      </c>
      <c r="L172" s="7">
        <f t="shared" si="74"/>
        <v>8180.6265860809954</v>
      </c>
      <c r="M172" s="13">
        <f t="shared" si="75"/>
        <v>37053.373413919006</v>
      </c>
    </row>
    <row r="173" spans="1:13" x14ac:dyDescent="0.15">
      <c r="A173" s="10">
        <v>5</v>
      </c>
      <c r="B173" s="7"/>
      <c r="C173" s="7" t="s">
        <v>14</v>
      </c>
      <c r="D173" s="11">
        <f t="shared" si="78"/>
        <v>44431</v>
      </c>
      <c r="E173" s="7"/>
      <c r="F173" s="7">
        <v>356345</v>
      </c>
      <c r="G173" s="7">
        <f t="shared" si="76"/>
        <v>17817.25</v>
      </c>
      <c r="H173" s="7">
        <v>5</v>
      </c>
      <c r="I173" s="12">
        <f t="shared" si="72"/>
        <v>45.071972834694108</v>
      </c>
      <c r="J173" s="7">
        <f t="shared" si="77"/>
        <v>220</v>
      </c>
      <c r="K173" s="7">
        <f t="shared" si="73"/>
        <v>0</v>
      </c>
      <c r="L173" s="7">
        <f t="shared" si="74"/>
        <v>96807.06507264098</v>
      </c>
      <c r="M173" s="13">
        <f t="shared" si="75"/>
        <v>259537.93492735902</v>
      </c>
    </row>
    <row r="174" spans="1:13" x14ac:dyDescent="0.15">
      <c r="A174" s="10">
        <v>6</v>
      </c>
      <c r="B174" s="7"/>
      <c r="C174" s="7" t="s">
        <v>15</v>
      </c>
      <c r="D174" s="11">
        <f t="shared" si="78"/>
        <v>44466</v>
      </c>
      <c r="E174" s="7"/>
      <c r="F174" s="7">
        <v>456345</v>
      </c>
      <c r="G174" s="7">
        <f t="shared" si="76"/>
        <v>22817.25</v>
      </c>
      <c r="H174" s="7">
        <v>6</v>
      </c>
      <c r="I174" s="12">
        <f t="shared" si="72"/>
        <v>39.303776899708275</v>
      </c>
      <c r="J174" s="7">
        <f t="shared" si="77"/>
        <v>185</v>
      </c>
      <c r="K174" s="7">
        <f t="shared" si="73"/>
        <v>0</v>
      </c>
      <c r="L174" s="7">
        <f t="shared" si="74"/>
        <v>90908.909118356562</v>
      </c>
      <c r="M174" s="13">
        <f t="shared" si="75"/>
        <v>365436.09088164347</v>
      </c>
    </row>
    <row r="175" spans="1:13" ht="11.25" thickBot="1" x14ac:dyDescent="0.2">
      <c r="A175" s="10">
        <v>7</v>
      </c>
      <c r="B175" s="7"/>
      <c r="C175" s="7" t="s">
        <v>16</v>
      </c>
      <c r="D175" s="11">
        <v>44606</v>
      </c>
      <c r="E175" s="7"/>
      <c r="F175" s="7">
        <v>34567</v>
      </c>
      <c r="G175" s="7">
        <f t="shared" si="76"/>
        <v>1728.3500000000001</v>
      </c>
      <c r="H175" s="7">
        <v>10</v>
      </c>
      <c r="I175" s="12">
        <f t="shared" si="72"/>
        <v>25.886555089305229</v>
      </c>
      <c r="J175" s="7">
        <f t="shared" si="77"/>
        <v>45</v>
      </c>
      <c r="K175" s="7">
        <f t="shared" si="73"/>
        <v>0</v>
      </c>
      <c r="L175" s="7">
        <f t="shared" si="74"/>
        <v>1103.2034175271403</v>
      </c>
      <c r="M175" s="13">
        <f t="shared" si="75"/>
        <v>33463.79658247286</v>
      </c>
    </row>
    <row r="176" spans="1:13" ht="15.75" thickBot="1" x14ac:dyDescent="0.3">
      <c r="A176" s="14"/>
      <c r="B176" s="15"/>
      <c r="C176" s="188"/>
      <c r="D176" s="15"/>
      <c r="E176" s="19">
        <f>SUM(E168:E175)</f>
        <v>0</v>
      </c>
      <c r="F176" s="19">
        <f t="shared" ref="F176:G176" si="79">SUM(F168:F175)</f>
        <v>1031451</v>
      </c>
      <c r="G176" s="19">
        <f t="shared" si="79"/>
        <v>51572.549999999996</v>
      </c>
      <c r="H176" s="19"/>
      <c r="I176" s="19"/>
      <c r="J176" s="19"/>
      <c r="K176" s="19">
        <f t="shared" ref="K176" si="80">SUM(K168:K175)</f>
        <v>0</v>
      </c>
      <c r="L176" s="19">
        <f t="shared" ref="L176" si="81">SUM(L168:L175)</f>
        <v>222658.50191855975</v>
      </c>
      <c r="M176" s="19">
        <f t="shared" ref="M176" si="82">SUM(M168:M175)</f>
        <v>808792.49808144034</v>
      </c>
    </row>
    <row r="177" spans="1:13" x14ac:dyDescent="0.15">
      <c r="A177" s="189"/>
      <c r="B177" s="190"/>
      <c r="C177" s="191">
        <v>45016</v>
      </c>
      <c r="D177" s="190"/>
      <c r="E177" s="190"/>
      <c r="F177" s="190"/>
      <c r="G177" s="190"/>
      <c r="H177" s="190"/>
      <c r="I177" s="190"/>
      <c r="J177" s="190"/>
      <c r="K177" s="190"/>
      <c r="L177" s="190"/>
      <c r="M177" s="192"/>
    </row>
    <row r="178" spans="1:13" x14ac:dyDescent="0.15">
      <c r="A178" s="193">
        <v>1</v>
      </c>
      <c r="B178" s="194"/>
      <c r="C178" s="194" t="s">
        <v>10</v>
      </c>
      <c r="D178" s="195">
        <v>44718</v>
      </c>
      <c r="E178" s="194"/>
      <c r="F178" s="194">
        <v>5454</v>
      </c>
      <c r="G178" s="194">
        <f>F178*5%</f>
        <v>272.7</v>
      </c>
      <c r="H178" s="194">
        <v>60</v>
      </c>
      <c r="I178" s="196">
        <f t="shared" ref="I178:I184" si="83">(1-(G178/(F178+E178))^(1/H178))*100</f>
        <v>4.8702913310097458</v>
      </c>
      <c r="J178" s="194">
        <f>$C$177-D178</f>
        <v>298</v>
      </c>
      <c r="K178" s="194">
        <f t="shared" ref="K178:K184" si="84">(E178)*I178%*J178/$J$1</f>
        <v>0</v>
      </c>
      <c r="L178" s="194">
        <f t="shared" ref="L178:L184" si="85">(F178)*I178%*J178/$J$1</f>
        <v>216.86700103998606</v>
      </c>
      <c r="M178" s="197">
        <f t="shared" ref="M178:M184" si="86">F178+E178-L178-K178</f>
        <v>5237.1329989600135</v>
      </c>
    </row>
    <row r="179" spans="1:13" x14ac:dyDescent="0.15">
      <c r="A179" s="193">
        <v>2</v>
      </c>
      <c r="B179" s="194"/>
      <c r="C179" s="194" t="s">
        <v>11</v>
      </c>
      <c r="D179" s="195">
        <f>D178+35</f>
        <v>44753</v>
      </c>
      <c r="E179" s="194"/>
      <c r="F179" s="194">
        <v>87655</v>
      </c>
      <c r="G179" s="194">
        <f t="shared" ref="G179:G184" si="87">F179*5%</f>
        <v>4382.75</v>
      </c>
      <c r="H179" s="194">
        <v>15</v>
      </c>
      <c r="I179" s="196">
        <f t="shared" si="83"/>
        <v>18.103627252208465</v>
      </c>
      <c r="J179" s="194">
        <f t="shared" ref="J179:J184" si="88">$C$177-D179</f>
        <v>263</v>
      </c>
      <c r="K179" s="194">
        <f t="shared" si="84"/>
        <v>0</v>
      </c>
      <c r="L179" s="194">
        <f t="shared" si="85"/>
        <v>11434.184013873522</v>
      </c>
      <c r="M179" s="197">
        <f t="shared" si="86"/>
        <v>76220.815986126472</v>
      </c>
    </row>
    <row r="180" spans="1:13" x14ac:dyDescent="0.15">
      <c r="A180" s="193">
        <v>3</v>
      </c>
      <c r="B180" s="194"/>
      <c r="C180" s="194" t="s">
        <v>12</v>
      </c>
      <c r="D180" s="195">
        <f t="shared" ref="D180:D183" si="89">D179+35</f>
        <v>44788</v>
      </c>
      <c r="E180" s="194"/>
      <c r="F180" s="194">
        <v>67544</v>
      </c>
      <c r="G180" s="194">
        <f t="shared" si="87"/>
        <v>3377.2000000000003</v>
      </c>
      <c r="H180" s="194">
        <v>10</v>
      </c>
      <c r="I180" s="196">
        <f t="shared" si="83"/>
        <v>25.886555089305229</v>
      </c>
      <c r="J180" s="194">
        <f t="shared" si="88"/>
        <v>228</v>
      </c>
      <c r="K180" s="194">
        <f t="shared" si="84"/>
        <v>0</v>
      </c>
      <c r="L180" s="194">
        <f t="shared" si="85"/>
        <v>10922.021280686669</v>
      </c>
      <c r="M180" s="197">
        <f t="shared" si="86"/>
        <v>56621.978719313331</v>
      </c>
    </row>
    <row r="181" spans="1:13" x14ac:dyDescent="0.15">
      <c r="A181" s="193">
        <v>4</v>
      </c>
      <c r="B181" s="194"/>
      <c r="C181" s="194" t="s">
        <v>13</v>
      </c>
      <c r="D181" s="195">
        <f t="shared" si="89"/>
        <v>44823</v>
      </c>
      <c r="E181" s="194"/>
      <c r="F181" s="194">
        <v>675464</v>
      </c>
      <c r="G181" s="194">
        <f t="shared" si="87"/>
        <v>33773.200000000004</v>
      </c>
      <c r="H181" s="194">
        <v>10</v>
      </c>
      <c r="I181" s="196">
        <f t="shared" si="83"/>
        <v>25.886555089305229</v>
      </c>
      <c r="J181" s="194">
        <f t="shared" si="88"/>
        <v>193</v>
      </c>
      <c r="K181" s="194">
        <f t="shared" si="84"/>
        <v>0</v>
      </c>
      <c r="L181" s="194">
        <f t="shared" si="85"/>
        <v>92457.237179194417</v>
      </c>
      <c r="M181" s="197">
        <f t="shared" si="86"/>
        <v>583006.76282080554</v>
      </c>
    </row>
    <row r="182" spans="1:13" x14ac:dyDescent="0.15">
      <c r="A182" s="193">
        <v>5</v>
      </c>
      <c r="B182" s="194"/>
      <c r="C182" s="194" t="s">
        <v>14</v>
      </c>
      <c r="D182" s="195">
        <f t="shared" si="89"/>
        <v>44858</v>
      </c>
      <c r="E182" s="194"/>
      <c r="F182" s="194">
        <v>657456</v>
      </c>
      <c r="G182" s="194">
        <f t="shared" si="87"/>
        <v>32872.800000000003</v>
      </c>
      <c r="H182" s="194">
        <v>5</v>
      </c>
      <c r="I182" s="196">
        <f t="shared" si="83"/>
        <v>45.071972834694108</v>
      </c>
      <c r="J182" s="194">
        <f t="shared" si="88"/>
        <v>158</v>
      </c>
      <c r="K182" s="194">
        <f t="shared" si="84"/>
        <v>0</v>
      </c>
      <c r="L182" s="194">
        <f t="shared" si="85"/>
        <v>128273.65911170001</v>
      </c>
      <c r="M182" s="197">
        <f t="shared" si="86"/>
        <v>529182.34088829998</v>
      </c>
    </row>
    <row r="183" spans="1:13" x14ac:dyDescent="0.15">
      <c r="A183" s="193">
        <v>6</v>
      </c>
      <c r="B183" s="194"/>
      <c r="C183" s="194" t="s">
        <v>15</v>
      </c>
      <c r="D183" s="195">
        <f t="shared" si="89"/>
        <v>44893</v>
      </c>
      <c r="E183" s="194"/>
      <c r="F183" s="194">
        <v>54645</v>
      </c>
      <c r="G183" s="194">
        <f t="shared" si="87"/>
        <v>2732.25</v>
      </c>
      <c r="H183" s="194">
        <v>6</v>
      </c>
      <c r="I183" s="196">
        <f t="shared" si="83"/>
        <v>39.303776899708275</v>
      </c>
      <c r="J183" s="194">
        <f t="shared" si="88"/>
        <v>123</v>
      </c>
      <c r="K183" s="194">
        <f t="shared" si="84"/>
        <v>0</v>
      </c>
      <c r="L183" s="194">
        <f t="shared" si="85"/>
        <v>7237.6397618685123</v>
      </c>
      <c r="M183" s="197">
        <f t="shared" si="86"/>
        <v>47407.360238131485</v>
      </c>
    </row>
    <row r="184" spans="1:13" ht="11.25" thickBot="1" x14ac:dyDescent="0.2">
      <c r="A184" s="193">
        <v>7</v>
      </c>
      <c r="B184" s="194"/>
      <c r="C184" s="194" t="s">
        <v>16</v>
      </c>
      <c r="D184" s="195">
        <v>44986</v>
      </c>
      <c r="E184" s="194"/>
      <c r="F184" s="194">
        <v>456345</v>
      </c>
      <c r="G184" s="194">
        <f t="shared" si="87"/>
        <v>22817.25</v>
      </c>
      <c r="H184" s="194">
        <v>10</v>
      </c>
      <c r="I184" s="196">
        <f t="shared" si="83"/>
        <v>25.886555089305229</v>
      </c>
      <c r="J184" s="194">
        <f t="shared" si="88"/>
        <v>30</v>
      </c>
      <c r="K184" s="194">
        <f t="shared" si="84"/>
        <v>0</v>
      </c>
      <c r="L184" s="194">
        <f t="shared" si="85"/>
        <v>9709.4794374484882</v>
      </c>
      <c r="M184" s="197">
        <f t="shared" si="86"/>
        <v>446635.52056255151</v>
      </c>
    </row>
    <row r="185" spans="1:13" ht="15.75" thickBot="1" x14ac:dyDescent="0.3">
      <c r="A185" s="198"/>
      <c r="B185" s="199"/>
      <c r="C185" s="200"/>
      <c r="D185" s="199"/>
      <c r="E185" s="201">
        <f t="shared" ref="E185" si="90">SUM(E177:E184)</f>
        <v>0</v>
      </c>
      <c r="F185" s="201">
        <f t="shared" ref="F185" si="91">SUM(F177:F184)</f>
        <v>2004563</v>
      </c>
      <c r="G185" s="201">
        <f t="shared" ref="G185" si="92">SUM(G177:G184)</f>
        <v>100228.15000000001</v>
      </c>
      <c r="H185" s="201"/>
      <c r="I185" s="201"/>
      <c r="J185" s="201"/>
      <c r="K185" s="201">
        <f t="shared" ref="K185" si="93">SUM(K177:K184)</f>
        <v>0</v>
      </c>
      <c r="L185" s="201">
        <f t="shared" ref="L185" si="94">SUM(L177:L184)</f>
        <v>260251.08778581163</v>
      </c>
      <c r="M185" s="201">
        <f t="shared" ref="M185" si="95">SUM(M177:M184)</f>
        <v>1744311.9122141884</v>
      </c>
    </row>
    <row r="186" spans="1:13" ht="15" x14ac:dyDescent="0.25">
      <c r="C186"/>
    </row>
    <row r="187" spans="1:13" ht="15" x14ac:dyDescent="0.25">
      <c r="C187"/>
    </row>
    <row r="188" spans="1:13" ht="15" x14ac:dyDescent="0.25">
      <c r="C188"/>
    </row>
    <row r="189" spans="1:13" ht="15" x14ac:dyDescent="0.25">
      <c r="C189"/>
    </row>
    <row r="190" spans="1:13" ht="15" x14ac:dyDescent="0.25">
      <c r="C190"/>
    </row>
    <row r="191" spans="1:13" ht="15" x14ac:dyDescent="0.25">
      <c r="C191"/>
    </row>
    <row r="192" spans="1:13" ht="15" x14ac:dyDescent="0.25">
      <c r="C192"/>
    </row>
    <row r="193" spans="1:13" ht="15" x14ac:dyDescent="0.25">
      <c r="C193"/>
    </row>
    <row r="194" spans="1:13" ht="15" x14ac:dyDescent="0.25">
      <c r="C194"/>
    </row>
    <row r="195" spans="1:13" ht="15" x14ac:dyDescent="0.25">
      <c r="C195"/>
    </row>
    <row r="196" spans="1:13" ht="15" x14ac:dyDescent="0.25">
      <c r="C196"/>
    </row>
    <row r="197" spans="1:13" ht="15" x14ac:dyDescent="0.25">
      <c r="C197"/>
    </row>
    <row r="198" spans="1:13" ht="15" x14ac:dyDescent="0.25">
      <c r="C198"/>
    </row>
    <row r="199" spans="1:13" ht="15" x14ac:dyDescent="0.25">
      <c r="C199"/>
    </row>
    <row r="200" spans="1:13" ht="15" x14ac:dyDescent="0.25">
      <c r="C200"/>
      <c r="J200" s="2">
        <v>42825</v>
      </c>
    </row>
    <row r="201" spans="1:13" x14ac:dyDescent="0.15">
      <c r="A201" s="10">
        <v>120</v>
      </c>
      <c r="B201" s="7" t="s">
        <v>15</v>
      </c>
      <c r="C201" s="7" t="s">
        <v>15</v>
      </c>
      <c r="D201" s="11">
        <v>42766</v>
      </c>
      <c r="E201" s="7"/>
      <c r="F201" s="7">
        <v>19293</v>
      </c>
      <c r="G201" s="7">
        <f t="shared" ref="G201" si="96">(F201+E201)*5%</f>
        <v>964.65000000000009</v>
      </c>
      <c r="H201" s="7">
        <v>3</v>
      </c>
      <c r="I201" s="12">
        <f t="shared" ref="I201" si="97">(1-(G201/(F201+E201))^(1/H201))*100</f>
        <v>63.159685013596125</v>
      </c>
      <c r="J201" s="7">
        <f>J200-D201</f>
        <v>59</v>
      </c>
      <c r="K201" s="7">
        <f t="shared" ref="K201" si="98">(E201)*I201%*J201/$J$1</f>
        <v>0</v>
      </c>
      <c r="L201" s="7">
        <f t="shared" ref="L201" si="99">(F201)*I201%*J201/$J$1</f>
        <v>1969.6944760293504</v>
      </c>
      <c r="M201" s="13">
        <f t="shared" ref="M201" si="100">F201+E201-L201-K201</f>
        <v>17323.305523970648</v>
      </c>
    </row>
    <row r="202" spans="1:13" ht="15" x14ac:dyDescent="0.25">
      <c r="C202"/>
    </row>
    <row r="203" spans="1:13" ht="15" x14ac:dyDescent="0.25">
      <c r="C203"/>
    </row>
    <row r="204" spans="1:13" ht="15" x14ac:dyDescent="0.25">
      <c r="C204"/>
    </row>
    <row r="205" spans="1:13" ht="15" x14ac:dyDescent="0.25">
      <c r="C205"/>
    </row>
    <row r="206" spans="1:13" ht="15" x14ac:dyDescent="0.25">
      <c r="C206"/>
    </row>
    <row r="207" spans="1:13" ht="15" x14ac:dyDescent="0.25">
      <c r="C207"/>
    </row>
    <row r="208" spans="1:13" ht="15" x14ac:dyDescent="0.25">
      <c r="C208"/>
    </row>
    <row r="209" spans="3:3" ht="15" x14ac:dyDescent="0.25">
      <c r="C209"/>
    </row>
    <row r="210" spans="3:3" ht="15" x14ac:dyDescent="0.25">
      <c r="C210"/>
    </row>
    <row r="211" spans="3:3" ht="15" x14ac:dyDescent="0.25">
      <c r="C211"/>
    </row>
    <row r="212" spans="3:3" ht="15" x14ac:dyDescent="0.25">
      <c r="C212"/>
    </row>
    <row r="213" spans="3:3" ht="15" x14ac:dyDescent="0.25">
      <c r="C213"/>
    </row>
    <row r="214" spans="3:3" ht="15" x14ac:dyDescent="0.25">
      <c r="C214"/>
    </row>
    <row r="215" spans="3:3" ht="15" x14ac:dyDescent="0.25">
      <c r="C215"/>
    </row>
    <row r="216" spans="3:3" ht="15" x14ac:dyDescent="0.25">
      <c r="C216"/>
    </row>
    <row r="217" spans="3:3" ht="15" x14ac:dyDescent="0.25">
      <c r="C217"/>
    </row>
    <row r="218" spans="3:3" ht="15" x14ac:dyDescent="0.25">
      <c r="C218"/>
    </row>
    <row r="219" spans="3:3" ht="15" x14ac:dyDescent="0.25">
      <c r="C219"/>
    </row>
    <row r="220" spans="3:3" ht="15" x14ac:dyDescent="0.25">
      <c r="C220"/>
    </row>
    <row r="221" spans="3:3" ht="15" x14ac:dyDescent="0.25">
      <c r="C221"/>
    </row>
    <row r="222" spans="3:3" ht="15" x14ac:dyDescent="0.25">
      <c r="C222"/>
    </row>
    <row r="223" spans="3:3" ht="15" x14ac:dyDescent="0.25">
      <c r="C223"/>
    </row>
    <row r="224" spans="3:3" ht="15" x14ac:dyDescent="0.25">
      <c r="C224"/>
    </row>
    <row r="225" spans="3:3" ht="15" x14ac:dyDescent="0.25">
      <c r="C225"/>
    </row>
    <row r="226" spans="3:3" ht="15" x14ac:dyDescent="0.25">
      <c r="C226"/>
    </row>
    <row r="227" spans="3:3" ht="15" x14ac:dyDescent="0.25">
      <c r="C227"/>
    </row>
    <row r="228" spans="3:3" ht="15" x14ac:dyDescent="0.25">
      <c r="C228"/>
    </row>
    <row r="229" spans="3:3" ht="15" x14ac:dyDescent="0.25">
      <c r="C229"/>
    </row>
    <row r="230" spans="3:3" ht="15" x14ac:dyDescent="0.25">
      <c r="C230"/>
    </row>
    <row r="231" spans="3:3" ht="15" x14ac:dyDescent="0.25">
      <c r="C231"/>
    </row>
    <row r="232" spans="3:3" ht="15" x14ac:dyDescent="0.25">
      <c r="C232"/>
    </row>
    <row r="233" spans="3:3" ht="15" x14ac:dyDescent="0.25">
      <c r="C233"/>
    </row>
    <row r="234" spans="3:3" ht="15" x14ac:dyDescent="0.25">
      <c r="C234"/>
    </row>
    <row r="235" spans="3:3" ht="15" x14ac:dyDescent="0.25">
      <c r="C235"/>
    </row>
    <row r="236" spans="3:3" ht="15" x14ac:dyDescent="0.25">
      <c r="C236"/>
    </row>
    <row r="237" spans="3:3" ht="15" x14ac:dyDescent="0.25">
      <c r="C237"/>
    </row>
    <row r="238" spans="3:3" ht="15" x14ac:dyDescent="0.25">
      <c r="C238"/>
    </row>
    <row r="239" spans="3:3" ht="15" x14ac:dyDescent="0.25">
      <c r="C239"/>
    </row>
    <row r="240" spans="3:3" ht="15" x14ac:dyDescent="0.25">
      <c r="C240"/>
    </row>
    <row r="241" spans="3:3" ht="15" x14ac:dyDescent="0.25">
      <c r="C241"/>
    </row>
    <row r="242" spans="3:3" ht="15" x14ac:dyDescent="0.25">
      <c r="C242"/>
    </row>
    <row r="243" spans="3:3" ht="15" x14ac:dyDescent="0.25">
      <c r="C243"/>
    </row>
    <row r="244" spans="3:3" ht="15" x14ac:dyDescent="0.25">
      <c r="C244"/>
    </row>
    <row r="245" spans="3:3" ht="15" x14ac:dyDescent="0.25">
      <c r="C245"/>
    </row>
    <row r="246" spans="3:3" ht="15" x14ac:dyDescent="0.25">
      <c r="C246"/>
    </row>
    <row r="247" spans="3:3" ht="15" x14ac:dyDescent="0.25">
      <c r="C247"/>
    </row>
    <row r="248" spans="3:3" ht="15" x14ac:dyDescent="0.25">
      <c r="C248"/>
    </row>
    <row r="249" spans="3:3" ht="15" x14ac:dyDescent="0.25">
      <c r="C249"/>
    </row>
    <row r="250" spans="3:3" ht="15" x14ac:dyDescent="0.25">
      <c r="C250"/>
    </row>
    <row r="251" spans="3:3" ht="15" x14ac:dyDescent="0.25">
      <c r="C251"/>
    </row>
    <row r="252" spans="3:3" ht="15" x14ac:dyDescent="0.25">
      <c r="C252"/>
    </row>
    <row r="253" spans="3:3" ht="15" x14ac:dyDescent="0.25">
      <c r="C253"/>
    </row>
    <row r="254" spans="3:3" ht="15" x14ac:dyDescent="0.25">
      <c r="C254"/>
    </row>
    <row r="255" spans="3:3" ht="15" x14ac:dyDescent="0.25">
      <c r="C255"/>
    </row>
    <row r="256" spans="3:3" ht="15" x14ac:dyDescent="0.25">
      <c r="C256"/>
    </row>
    <row r="257" spans="3:3" ht="15" x14ac:dyDescent="0.25">
      <c r="C257"/>
    </row>
    <row r="258" spans="3:3" ht="15" x14ac:dyDescent="0.25">
      <c r="C258"/>
    </row>
    <row r="259" spans="3:3" ht="15" x14ac:dyDescent="0.25">
      <c r="C259"/>
    </row>
    <row r="260" spans="3:3" ht="15" x14ac:dyDescent="0.25">
      <c r="C260"/>
    </row>
    <row r="261" spans="3:3" ht="15" x14ac:dyDescent="0.25">
      <c r="C261"/>
    </row>
    <row r="262" spans="3:3" ht="15" x14ac:dyDescent="0.25">
      <c r="C262"/>
    </row>
    <row r="263" spans="3:3" ht="15" x14ac:dyDescent="0.25">
      <c r="C263"/>
    </row>
    <row r="264" spans="3:3" ht="15" x14ac:dyDescent="0.25">
      <c r="C264"/>
    </row>
    <row r="265" spans="3:3" ht="15" x14ac:dyDescent="0.25">
      <c r="C265"/>
    </row>
    <row r="266" spans="3:3" ht="15" x14ac:dyDescent="0.25">
      <c r="C266"/>
    </row>
    <row r="267" spans="3:3" ht="15" x14ac:dyDescent="0.25">
      <c r="C267"/>
    </row>
    <row r="268" spans="3:3" ht="15" x14ac:dyDescent="0.25">
      <c r="C268"/>
    </row>
    <row r="269" spans="3:3" ht="15" x14ac:dyDescent="0.25">
      <c r="C269"/>
    </row>
    <row r="270" spans="3:3" ht="15" x14ac:dyDescent="0.25">
      <c r="C270"/>
    </row>
    <row r="271" spans="3:3" ht="15" x14ac:dyDescent="0.25">
      <c r="C271"/>
    </row>
    <row r="272" spans="3:3" ht="15" x14ac:dyDescent="0.25">
      <c r="C272"/>
    </row>
    <row r="273" spans="3:3" ht="15" x14ac:dyDescent="0.25">
      <c r="C273"/>
    </row>
    <row r="274" spans="3:3" ht="15" x14ac:dyDescent="0.25">
      <c r="C274"/>
    </row>
    <row r="275" spans="3:3" ht="15" x14ac:dyDescent="0.25">
      <c r="C275"/>
    </row>
    <row r="276" spans="3:3" ht="15" x14ac:dyDescent="0.25">
      <c r="C276"/>
    </row>
  </sheetData>
  <autoFilter ref="A2:M14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/>
  </sheetViews>
  <sheetFormatPr defaultRowHeight="10.5" customHeight="1" x14ac:dyDescent="0.25"/>
  <cols>
    <col min="1" max="1" width="31.7109375" customWidth="1"/>
    <col min="2" max="2" width="13.140625" bestFit="1" customWidth="1"/>
    <col min="3" max="3" width="11.85546875" customWidth="1"/>
    <col min="4" max="4" width="13.140625" bestFit="1" customWidth="1"/>
    <col min="5" max="5" width="8.7109375" bestFit="1" customWidth="1"/>
    <col min="6" max="6" width="11.5703125" bestFit="1" customWidth="1"/>
    <col min="7" max="7" width="14.85546875" bestFit="1" customWidth="1"/>
    <col min="8" max="8" width="7.7109375" bestFit="1" customWidth="1"/>
    <col min="9" max="9" width="11.85546875" bestFit="1" customWidth="1"/>
    <col min="11" max="11" width="13.140625" bestFit="1" customWidth="1"/>
  </cols>
  <sheetData>
    <row r="1" spans="1:11" ht="10.5" customHeight="1" x14ac:dyDescent="0.25">
      <c r="A1" s="32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0.5" customHeight="1" x14ac:dyDescent="0.25">
      <c r="A2" s="32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0.5" customHeight="1" thickBot="1" x14ac:dyDescent="0.3">
      <c r="A3" s="32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0.5" customHeight="1" thickBot="1" x14ac:dyDescent="0.3">
      <c r="A4" s="33" t="s">
        <v>19</v>
      </c>
      <c r="B4" s="34" t="s">
        <v>22</v>
      </c>
      <c r="C4" s="35" t="s">
        <v>20</v>
      </c>
      <c r="D4" s="35" t="s">
        <v>20</v>
      </c>
      <c r="E4" s="35" t="s">
        <v>23</v>
      </c>
      <c r="F4" s="289" t="s">
        <v>21</v>
      </c>
      <c r="G4" s="290"/>
      <c r="H4" s="291"/>
      <c r="I4" s="35"/>
      <c r="J4" s="35" t="s">
        <v>35</v>
      </c>
      <c r="K4" s="35" t="s">
        <v>7</v>
      </c>
    </row>
    <row r="5" spans="1:11" ht="10.5" customHeight="1" thickBot="1" x14ac:dyDescent="0.3">
      <c r="A5" s="38"/>
      <c r="B5" s="39" t="s">
        <v>25</v>
      </c>
      <c r="C5" s="40" t="s">
        <v>33</v>
      </c>
      <c r="D5" s="40" t="s">
        <v>34</v>
      </c>
      <c r="E5" s="40"/>
      <c r="F5" s="40" t="str">
        <f>B5</f>
        <v>01.04.2017</v>
      </c>
      <c r="G5" s="40" t="s">
        <v>20</v>
      </c>
      <c r="H5" s="40" t="s">
        <v>23</v>
      </c>
      <c r="I5" s="40" t="s">
        <v>24</v>
      </c>
      <c r="J5" s="37" t="s">
        <v>36</v>
      </c>
      <c r="K5" s="40" t="s">
        <v>26</v>
      </c>
    </row>
    <row r="6" spans="1:11" ht="10.5" customHeight="1" x14ac:dyDescent="0.25">
      <c r="A6" s="21" t="s">
        <v>10</v>
      </c>
      <c r="B6" s="25">
        <f>SUMIF('FA CA'!$C$3:$C$138,A6,'FA CA'!$E$3:$E$138)</f>
        <v>349829</v>
      </c>
      <c r="C6" s="25">
        <f>SUMIF('FA ADDN IT'!$C$3:$C$101,A6,'FA ADDN IT'!$F$3:$F$101)</f>
        <v>850243</v>
      </c>
      <c r="D6" s="25">
        <f>SUMIF('FA ADDN IT'!$C$3:$C$101,A6,'FA ADDN IT'!$G$3:$G$101)</f>
        <v>0</v>
      </c>
      <c r="E6" s="26">
        <f>0</f>
        <v>0</v>
      </c>
      <c r="F6" s="25">
        <f>B6*J6</f>
        <v>17491.45</v>
      </c>
      <c r="G6" s="25">
        <f>C6*J6+(D6*J6/2)</f>
        <v>42512.15</v>
      </c>
      <c r="H6" s="26">
        <f>0</f>
        <v>0</v>
      </c>
      <c r="I6" s="28">
        <f>F6+G6-H6</f>
        <v>60003.600000000006</v>
      </c>
      <c r="J6" s="51">
        <v>0.05</v>
      </c>
      <c r="K6" s="28">
        <f>B6+C6+D6-E6-I6</f>
        <v>1140068.3999999999</v>
      </c>
    </row>
    <row r="7" spans="1:11" ht="10.5" customHeight="1" x14ac:dyDescent="0.25">
      <c r="A7" s="22" t="s">
        <v>11</v>
      </c>
      <c r="B7" s="31">
        <f>SUMIF('FA CA'!$C$3:$C$138,A7,'FA CA'!$E$3:$E$138)</f>
        <v>439314</v>
      </c>
      <c r="C7" s="10">
        <f>SUMIF('FA ADDN IT'!$C$3:$C$101,A7,'FA ADDN IT'!$F$3:$F$101)</f>
        <v>830114</v>
      </c>
      <c r="D7" s="10">
        <f>SUMIF('FA ADDN IT'!$C$3:$C$101,A7,'FA ADDN IT'!$G$3:$G$101)</f>
        <v>0</v>
      </c>
      <c r="E7" s="27">
        <f>0</f>
        <v>0</v>
      </c>
      <c r="F7" s="10">
        <f t="shared" ref="F7:F12" si="0">B7*J7</f>
        <v>65897.099999999991</v>
      </c>
      <c r="G7" s="10">
        <f t="shared" ref="G7:G12" si="1">C7*J7+(D7*J7/2)</f>
        <v>124517.09999999999</v>
      </c>
      <c r="H7" s="27">
        <f>0</f>
        <v>0</v>
      </c>
      <c r="I7" s="29">
        <f t="shared" ref="I7:I12" si="2">F7+G7-H7</f>
        <v>190414.19999999998</v>
      </c>
      <c r="J7" s="52">
        <v>0.15</v>
      </c>
      <c r="K7" s="29">
        <f t="shared" ref="K7:K12" si="3">B7+C7+D7-E7-I7</f>
        <v>1079013.8</v>
      </c>
    </row>
    <row r="8" spans="1:11" ht="10.5" customHeight="1" x14ac:dyDescent="0.25">
      <c r="A8" s="22" t="s">
        <v>12</v>
      </c>
      <c r="B8" s="31">
        <f>SUMIF('FA CA'!$C$3:$C$138,A8,'FA CA'!$E$3:$E$138)</f>
        <v>264361</v>
      </c>
      <c r="C8" s="10">
        <f>SUMIF('FA ADDN IT'!$C$3:$C$101,A8,'FA ADDN IT'!$F$3:$F$101)</f>
        <v>1371997</v>
      </c>
      <c r="D8" s="10">
        <f>SUMIF('FA ADDN IT'!$C$3:$C$101,A8,'FA ADDN IT'!$G$3:$G$101)</f>
        <v>0</v>
      </c>
      <c r="E8" s="27">
        <f>0</f>
        <v>0</v>
      </c>
      <c r="F8" s="10">
        <f t="shared" si="0"/>
        <v>26436.100000000002</v>
      </c>
      <c r="G8" s="10">
        <f t="shared" si="1"/>
        <v>137199.70000000001</v>
      </c>
      <c r="H8" s="27">
        <f>0</f>
        <v>0</v>
      </c>
      <c r="I8" s="29">
        <f t="shared" si="2"/>
        <v>163635.80000000002</v>
      </c>
      <c r="J8" s="52">
        <v>0.1</v>
      </c>
      <c r="K8" s="29">
        <f t="shared" si="3"/>
        <v>1472722.2</v>
      </c>
    </row>
    <row r="9" spans="1:11" ht="10.5" customHeight="1" x14ac:dyDescent="0.25">
      <c r="A9" s="22" t="s">
        <v>13</v>
      </c>
      <c r="B9" s="31">
        <f>SUMIF('FA CA'!$C$3:$C$138,A9,'FA CA'!$E$3:$E$138)</f>
        <v>1347349.5</v>
      </c>
      <c r="C9" s="10">
        <f>SUMIF('FA ADDN IT'!$C$3:$C$101,A9,'FA ADDN IT'!$F$3:$F$101)</f>
        <v>567304</v>
      </c>
      <c r="D9" s="10">
        <f>SUMIF('FA ADDN IT'!$C$3:$C$101,A9,'FA ADDN IT'!$G$3:$G$101)</f>
        <v>1256207</v>
      </c>
      <c r="E9" s="27">
        <f>0</f>
        <v>0</v>
      </c>
      <c r="F9" s="10">
        <f t="shared" si="0"/>
        <v>202102.42499999999</v>
      </c>
      <c r="G9" s="10">
        <f t="shared" si="1"/>
        <v>179311.125</v>
      </c>
      <c r="H9" s="27">
        <f>0</f>
        <v>0</v>
      </c>
      <c r="I9" s="29">
        <f t="shared" si="2"/>
        <v>381413.55</v>
      </c>
      <c r="J9" s="52">
        <v>0.15</v>
      </c>
      <c r="K9" s="29">
        <f t="shared" si="3"/>
        <v>2789446.95</v>
      </c>
    </row>
    <row r="10" spans="1:11" ht="10.5" customHeight="1" x14ac:dyDescent="0.25">
      <c r="A10" s="22" t="s">
        <v>14</v>
      </c>
      <c r="B10" s="31">
        <f>SUMIF('FA CA'!$C$3:$C$138,A10,'FA CA'!$E$3:$E$138)</f>
        <v>511636</v>
      </c>
      <c r="C10" s="10">
        <f>SUMIF('FA ADDN IT'!$C$3:$C$101,A10,'FA ADDN IT'!$F$3:$F$101)</f>
        <v>0</v>
      </c>
      <c r="D10" s="10">
        <f>SUMIF('FA ADDN IT'!$C$3:$C$101,A10,'FA ADDN IT'!$G$3:$G$101)</f>
        <v>849072</v>
      </c>
      <c r="E10" s="27">
        <f>0</f>
        <v>0</v>
      </c>
      <c r="F10" s="10">
        <f t="shared" si="0"/>
        <v>76745.399999999994</v>
      </c>
      <c r="G10" s="10">
        <f t="shared" si="1"/>
        <v>63680.399999999994</v>
      </c>
      <c r="H10" s="27">
        <f>0</f>
        <v>0</v>
      </c>
      <c r="I10" s="29">
        <f t="shared" si="2"/>
        <v>140425.79999999999</v>
      </c>
      <c r="J10" s="52">
        <v>0.15</v>
      </c>
      <c r="K10" s="29">
        <f t="shared" si="3"/>
        <v>1220282.2</v>
      </c>
    </row>
    <row r="11" spans="1:11" ht="10.5" customHeight="1" x14ac:dyDescent="0.25">
      <c r="A11" s="22" t="s">
        <v>15</v>
      </c>
      <c r="B11" s="31">
        <f>SUMIF('FA CA'!$C$3:$C$138,A11,'FA CA'!$E$3:$E$138)</f>
        <v>449678</v>
      </c>
      <c r="C11" s="10">
        <f>SUMIF('FA ADDN IT'!$C$3:$C$101,A11,'FA ADDN IT'!$F$3:$F$101)</f>
        <v>1479638</v>
      </c>
      <c r="D11" s="10">
        <f>SUMIF('FA ADDN IT'!$C$3:$C$101,A11,'FA ADDN IT'!$G$3:$G$101)</f>
        <v>267126</v>
      </c>
      <c r="E11" s="27">
        <f>0</f>
        <v>0</v>
      </c>
      <c r="F11" s="10">
        <f t="shared" si="0"/>
        <v>269806.8</v>
      </c>
      <c r="G11" s="10">
        <f t="shared" si="1"/>
        <v>967920.6</v>
      </c>
      <c r="H11" s="27">
        <f>0</f>
        <v>0</v>
      </c>
      <c r="I11" s="29">
        <f t="shared" si="2"/>
        <v>1237727.3999999999</v>
      </c>
      <c r="J11" s="52">
        <v>0.6</v>
      </c>
      <c r="K11" s="29">
        <f t="shared" si="3"/>
        <v>958714.60000000009</v>
      </c>
    </row>
    <row r="12" spans="1:11" ht="10.5" customHeight="1" thickBot="1" x14ac:dyDescent="0.3">
      <c r="A12" s="22" t="s">
        <v>16</v>
      </c>
      <c r="B12" s="49">
        <f>SUMIF('FA CA'!$C$3:$C$138,A12,'FA CA'!$E$3:$E$138)</f>
        <v>2509119</v>
      </c>
      <c r="C12" s="10">
        <f>SUMIF('FA ADDN IT'!$C$3:$C$101,A12,'FA ADDN IT'!$F$3:$F$101)</f>
        <v>2252716</v>
      </c>
      <c r="D12" s="10">
        <f>SUMIF('FA ADDN IT'!$C$3:$C$101,A12,'FA ADDN IT'!$G$3:$G$101)</f>
        <v>0</v>
      </c>
      <c r="E12" s="27">
        <f>0</f>
        <v>0</v>
      </c>
      <c r="F12" s="10">
        <f t="shared" si="0"/>
        <v>250911.90000000002</v>
      </c>
      <c r="G12" s="10">
        <f t="shared" si="1"/>
        <v>225271.6</v>
      </c>
      <c r="H12" s="27">
        <f>0</f>
        <v>0</v>
      </c>
      <c r="I12" s="29">
        <f t="shared" si="2"/>
        <v>476183.5</v>
      </c>
      <c r="J12" s="52">
        <v>0.1</v>
      </c>
      <c r="K12" s="29">
        <f t="shared" si="3"/>
        <v>4285651.5</v>
      </c>
    </row>
    <row r="13" spans="1:11" ht="12.75" customHeight="1" thickBot="1" x14ac:dyDescent="0.3">
      <c r="A13" s="24"/>
      <c r="B13" s="48">
        <f>SUM(B6:B12)</f>
        <v>5871286.5</v>
      </c>
      <c r="C13" s="43">
        <f t="shared" ref="C13:D13" si="4">SUM(C6:C12)</f>
        <v>7352012</v>
      </c>
      <c r="D13" s="43">
        <f t="shared" si="4"/>
        <v>2372405</v>
      </c>
      <c r="E13" s="48">
        <f t="shared" ref="E13" si="5">SUM(E6:E12)</f>
        <v>0</v>
      </c>
      <c r="F13" s="43">
        <f t="shared" ref="F13" si="6">SUM(F6:F12)</f>
        <v>909391.17499999993</v>
      </c>
      <c r="G13" s="43">
        <f t="shared" ref="G13" si="7">SUM(G6:G12)</f>
        <v>1740412.675</v>
      </c>
      <c r="H13" s="43">
        <f t="shared" ref="H13" si="8">SUM(H6:H12)</f>
        <v>0</v>
      </c>
      <c r="I13" s="43">
        <f t="shared" ref="I13:K13" si="9">SUM(I6:I12)</f>
        <v>2649803.8499999996</v>
      </c>
      <c r="J13" s="48"/>
      <c r="K13" s="43">
        <f t="shared" si="9"/>
        <v>12945899.65</v>
      </c>
    </row>
    <row r="14" spans="1:11" ht="10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0.5" customHeight="1" x14ac:dyDescent="0.25">
      <c r="A15" s="202" t="s">
        <v>138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</row>
    <row r="16" spans="1:11" ht="10.5" customHeight="1" thickBot="1" x14ac:dyDescent="0.3">
      <c r="A16" s="202"/>
      <c r="B16" s="203"/>
      <c r="C16" s="203"/>
      <c r="D16" s="203"/>
      <c r="E16" s="203"/>
      <c r="F16" s="203"/>
      <c r="G16" s="203"/>
      <c r="H16" s="203"/>
      <c r="I16" s="203"/>
      <c r="J16" s="203"/>
      <c r="K16" s="203"/>
    </row>
    <row r="17" spans="1:11" ht="10.5" customHeight="1" thickBot="1" x14ac:dyDescent="0.3">
      <c r="A17" s="204" t="s">
        <v>19</v>
      </c>
      <c r="B17" s="205" t="s">
        <v>22</v>
      </c>
      <c r="C17" s="206" t="s">
        <v>20</v>
      </c>
      <c r="D17" s="206" t="s">
        <v>20</v>
      </c>
      <c r="E17" s="206" t="s">
        <v>23</v>
      </c>
      <c r="F17" s="292" t="s">
        <v>21</v>
      </c>
      <c r="G17" s="293"/>
      <c r="H17" s="294"/>
      <c r="I17" s="206"/>
      <c r="J17" s="206" t="s">
        <v>35</v>
      </c>
      <c r="K17" s="206" t="s">
        <v>7</v>
      </c>
    </row>
    <row r="18" spans="1:11" ht="10.5" customHeight="1" thickBot="1" x14ac:dyDescent="0.3">
      <c r="A18" s="207"/>
      <c r="B18" s="208" t="s">
        <v>128</v>
      </c>
      <c r="C18" s="209" t="s">
        <v>33</v>
      </c>
      <c r="D18" s="209" t="s">
        <v>34</v>
      </c>
      <c r="E18" s="209"/>
      <c r="F18" s="209" t="str">
        <f>B18</f>
        <v>01.04.2018</v>
      </c>
      <c r="G18" s="209" t="s">
        <v>20</v>
      </c>
      <c r="H18" s="209" t="s">
        <v>23</v>
      </c>
      <c r="I18" s="209" t="s">
        <v>24</v>
      </c>
      <c r="J18" s="210" t="s">
        <v>36</v>
      </c>
      <c r="K18" s="209" t="s">
        <v>129</v>
      </c>
    </row>
    <row r="19" spans="1:11" ht="10.5" customHeight="1" x14ac:dyDescent="0.25">
      <c r="A19" s="211" t="s">
        <v>10</v>
      </c>
      <c r="B19" s="189">
        <f>K6</f>
        <v>1140068.3999999999</v>
      </c>
      <c r="C19" s="189">
        <f>'FA ADDN IT'!F104</f>
        <v>0</v>
      </c>
      <c r="D19" s="189">
        <f>'FA ADDN IT'!G104</f>
        <v>445500</v>
      </c>
      <c r="E19" s="212">
        <f>0</f>
        <v>0</v>
      </c>
      <c r="F19" s="189">
        <f>B19*J19</f>
        <v>57003.42</v>
      </c>
      <c r="G19" s="189">
        <f>C19*J19+(D19*J19/2)</f>
        <v>11137.5</v>
      </c>
      <c r="H19" s="212">
        <f>0</f>
        <v>0</v>
      </c>
      <c r="I19" s="213">
        <f>F19+G19-H19</f>
        <v>68140.92</v>
      </c>
      <c r="J19" s="214">
        <v>0.05</v>
      </c>
      <c r="K19" s="213">
        <f>B19+C19+D19-E19-I19</f>
        <v>1517427.48</v>
      </c>
    </row>
    <row r="20" spans="1:11" ht="10.5" customHeight="1" x14ac:dyDescent="0.25">
      <c r="A20" s="215" t="s">
        <v>11</v>
      </c>
      <c r="B20" s="216">
        <f t="shared" ref="B20:B25" si="10">K7</f>
        <v>1079013.8</v>
      </c>
      <c r="C20" s="193">
        <f>'FA ADDN IT'!F105</f>
        <v>0</v>
      </c>
      <c r="D20" s="193">
        <f>'FA ADDN IT'!G105</f>
        <v>3475349</v>
      </c>
      <c r="E20" s="217">
        <f>0</f>
        <v>0</v>
      </c>
      <c r="F20" s="193">
        <f t="shared" ref="F20:F25" si="11">B20*J20</f>
        <v>161852.07</v>
      </c>
      <c r="G20" s="193">
        <f t="shared" ref="G20:G25" si="12">C20*J20+(D20*J20/2)</f>
        <v>260651.17499999999</v>
      </c>
      <c r="H20" s="217">
        <f>0</f>
        <v>0</v>
      </c>
      <c r="I20" s="218">
        <f t="shared" ref="I20:I25" si="13">F20+G20-H20</f>
        <v>422503.245</v>
      </c>
      <c r="J20" s="219">
        <v>0.15</v>
      </c>
      <c r="K20" s="218">
        <f t="shared" ref="K20:K25" si="14">B20+C20+D20-E20-I20</f>
        <v>4131859.5549999997</v>
      </c>
    </row>
    <row r="21" spans="1:11" ht="10.5" customHeight="1" x14ac:dyDescent="0.25">
      <c r="A21" s="215" t="s">
        <v>12</v>
      </c>
      <c r="B21" s="216">
        <f t="shared" si="10"/>
        <v>1472722.2</v>
      </c>
      <c r="C21" s="193">
        <f>'FA ADDN IT'!F106</f>
        <v>0</v>
      </c>
      <c r="D21" s="193">
        <f>'FA ADDN IT'!G106</f>
        <v>47643</v>
      </c>
      <c r="E21" s="217">
        <f>0</f>
        <v>0</v>
      </c>
      <c r="F21" s="193">
        <f t="shared" si="11"/>
        <v>147272.22</v>
      </c>
      <c r="G21" s="193">
        <f t="shared" si="12"/>
        <v>2382.15</v>
      </c>
      <c r="H21" s="217">
        <f>0</f>
        <v>0</v>
      </c>
      <c r="I21" s="218">
        <f t="shared" si="13"/>
        <v>149654.37</v>
      </c>
      <c r="J21" s="219">
        <v>0.1</v>
      </c>
      <c r="K21" s="218">
        <f t="shared" si="14"/>
        <v>1370710.83</v>
      </c>
    </row>
    <row r="22" spans="1:11" ht="10.5" customHeight="1" x14ac:dyDescent="0.25">
      <c r="A22" s="215" t="s">
        <v>13</v>
      </c>
      <c r="B22" s="216">
        <f t="shared" si="10"/>
        <v>2789446.95</v>
      </c>
      <c r="C22" s="193">
        <f>'FA ADDN IT'!F107</f>
        <v>0</v>
      </c>
      <c r="D22" s="193">
        <f>'FA ADDN IT'!G107</f>
        <v>234758</v>
      </c>
      <c r="E22" s="217">
        <f>0</f>
        <v>0</v>
      </c>
      <c r="F22" s="193">
        <f t="shared" si="11"/>
        <v>418417.04250000004</v>
      </c>
      <c r="G22" s="193">
        <f t="shared" si="12"/>
        <v>17606.849999999999</v>
      </c>
      <c r="H22" s="217">
        <f>0</f>
        <v>0</v>
      </c>
      <c r="I22" s="218">
        <f t="shared" si="13"/>
        <v>436023.89250000002</v>
      </c>
      <c r="J22" s="219">
        <v>0.15</v>
      </c>
      <c r="K22" s="218">
        <f t="shared" si="14"/>
        <v>2588181.0575000001</v>
      </c>
    </row>
    <row r="23" spans="1:11" ht="10.5" customHeight="1" x14ac:dyDescent="0.25">
      <c r="A23" s="215" t="s">
        <v>14</v>
      </c>
      <c r="B23" s="216">
        <f t="shared" si="10"/>
        <v>1220282.2</v>
      </c>
      <c r="C23" s="193">
        <f>'FA ADDN IT'!F108</f>
        <v>0</v>
      </c>
      <c r="D23" s="193">
        <f>'FA ADDN IT'!G108</f>
        <v>8674385</v>
      </c>
      <c r="E23" s="217">
        <f>0</f>
        <v>0</v>
      </c>
      <c r="F23" s="193">
        <f t="shared" si="11"/>
        <v>183042.33</v>
      </c>
      <c r="G23" s="193">
        <f t="shared" si="12"/>
        <v>650578.875</v>
      </c>
      <c r="H23" s="217">
        <f>0</f>
        <v>0</v>
      </c>
      <c r="I23" s="218">
        <f t="shared" si="13"/>
        <v>833621.20499999996</v>
      </c>
      <c r="J23" s="219">
        <v>0.15</v>
      </c>
      <c r="K23" s="218">
        <f t="shared" si="14"/>
        <v>9061045.9949999992</v>
      </c>
    </row>
    <row r="24" spans="1:11" ht="10.5" customHeight="1" x14ac:dyDescent="0.25">
      <c r="A24" s="215" t="s">
        <v>15</v>
      </c>
      <c r="B24" s="216">
        <f t="shared" si="10"/>
        <v>958714.60000000009</v>
      </c>
      <c r="C24" s="193">
        <f>'FA ADDN IT'!F109</f>
        <v>0</v>
      </c>
      <c r="D24" s="193">
        <f>'FA ADDN IT'!G109</f>
        <v>45673</v>
      </c>
      <c r="E24" s="217">
        <f>0</f>
        <v>0</v>
      </c>
      <c r="F24" s="193">
        <f t="shared" si="11"/>
        <v>575228.76</v>
      </c>
      <c r="G24" s="193">
        <f t="shared" si="12"/>
        <v>13701.9</v>
      </c>
      <c r="H24" s="217">
        <f>0</f>
        <v>0</v>
      </c>
      <c r="I24" s="218">
        <f t="shared" si="13"/>
        <v>588930.66</v>
      </c>
      <c r="J24" s="219">
        <v>0.6</v>
      </c>
      <c r="K24" s="218">
        <f t="shared" si="14"/>
        <v>415456.94000000006</v>
      </c>
    </row>
    <row r="25" spans="1:11" ht="10.5" customHeight="1" thickBot="1" x14ac:dyDescent="0.3">
      <c r="A25" s="215" t="s">
        <v>16</v>
      </c>
      <c r="B25" s="220">
        <f t="shared" si="10"/>
        <v>4285651.5</v>
      </c>
      <c r="C25" s="193">
        <f>'FA ADDN IT'!F110</f>
        <v>0</v>
      </c>
      <c r="D25" s="193">
        <f>'FA ADDN IT'!G110</f>
        <v>5435968</v>
      </c>
      <c r="E25" s="217">
        <f>0</f>
        <v>0</v>
      </c>
      <c r="F25" s="193">
        <f t="shared" si="11"/>
        <v>428565.15</v>
      </c>
      <c r="G25" s="193">
        <f t="shared" si="12"/>
        <v>271798.40000000002</v>
      </c>
      <c r="H25" s="217">
        <f>0</f>
        <v>0</v>
      </c>
      <c r="I25" s="218">
        <f t="shared" si="13"/>
        <v>700363.55</v>
      </c>
      <c r="J25" s="219">
        <v>0.1</v>
      </c>
      <c r="K25" s="218">
        <f t="shared" si="14"/>
        <v>9021255.9499999993</v>
      </c>
    </row>
    <row r="26" spans="1:11" ht="10.5" customHeight="1" thickBot="1" x14ac:dyDescent="0.3">
      <c r="A26" s="221"/>
      <c r="B26" s="222">
        <f>SUM(B19:B25)</f>
        <v>12945899.65</v>
      </c>
      <c r="C26" s="223">
        <f t="shared" ref="C26:I26" si="15">SUM(C19:C25)</f>
        <v>0</v>
      </c>
      <c r="D26" s="223">
        <f t="shared" si="15"/>
        <v>18359276</v>
      </c>
      <c r="E26" s="222">
        <f t="shared" si="15"/>
        <v>0</v>
      </c>
      <c r="F26" s="223">
        <f t="shared" si="15"/>
        <v>1971380.9924999997</v>
      </c>
      <c r="G26" s="223">
        <f t="shared" si="15"/>
        <v>1227856.8500000001</v>
      </c>
      <c r="H26" s="223">
        <f t="shared" si="15"/>
        <v>0</v>
      </c>
      <c r="I26" s="223">
        <f t="shared" si="15"/>
        <v>3199237.8425000003</v>
      </c>
      <c r="J26" s="222"/>
      <c r="K26" s="223">
        <f t="shared" ref="K26" si="16">SUM(K19:K25)</f>
        <v>28105937.807499997</v>
      </c>
    </row>
    <row r="28" spans="1:11" ht="10.5" customHeight="1" x14ac:dyDescent="0.25">
      <c r="A28" s="32" t="s">
        <v>138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0.5" customHeight="1" thickBot="1" x14ac:dyDescent="0.3">
      <c r="A29" s="32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0.5" customHeight="1" thickBot="1" x14ac:dyDescent="0.3">
      <c r="A30" s="33" t="s">
        <v>19</v>
      </c>
      <c r="B30" s="34" t="s">
        <v>22</v>
      </c>
      <c r="C30" s="35" t="s">
        <v>20</v>
      </c>
      <c r="D30" s="35" t="s">
        <v>20</v>
      </c>
      <c r="E30" s="35" t="s">
        <v>23</v>
      </c>
      <c r="F30" s="289" t="s">
        <v>21</v>
      </c>
      <c r="G30" s="290"/>
      <c r="H30" s="291"/>
      <c r="I30" s="35"/>
      <c r="J30" s="35" t="s">
        <v>35</v>
      </c>
      <c r="K30" s="35" t="s">
        <v>7</v>
      </c>
    </row>
    <row r="31" spans="1:11" ht="10.5" customHeight="1" thickBot="1" x14ac:dyDescent="0.3">
      <c r="A31" s="38"/>
      <c r="B31" s="39" t="s">
        <v>130</v>
      </c>
      <c r="C31" s="40" t="s">
        <v>33</v>
      </c>
      <c r="D31" s="40" t="s">
        <v>34</v>
      </c>
      <c r="E31" s="40"/>
      <c r="F31" s="40" t="str">
        <f>B31</f>
        <v>01.04.2019</v>
      </c>
      <c r="G31" s="40" t="s">
        <v>20</v>
      </c>
      <c r="H31" s="40" t="s">
        <v>23</v>
      </c>
      <c r="I31" s="40" t="s">
        <v>24</v>
      </c>
      <c r="J31" s="37" t="s">
        <v>36</v>
      </c>
      <c r="K31" s="40" t="s">
        <v>131</v>
      </c>
    </row>
    <row r="32" spans="1:11" ht="10.5" customHeight="1" x14ac:dyDescent="0.25">
      <c r="A32" s="21" t="s">
        <v>10</v>
      </c>
      <c r="B32" s="25">
        <f>K19</f>
        <v>1517427.48</v>
      </c>
      <c r="C32" s="25">
        <f>'FA ADDN IT'!F114</f>
        <v>34534</v>
      </c>
      <c r="D32" s="25">
        <f>'FA ADDN IT'!G114</f>
        <v>0</v>
      </c>
      <c r="E32" s="26">
        <f>0</f>
        <v>0</v>
      </c>
      <c r="F32" s="25">
        <f>B32*J32</f>
        <v>75871.373999999996</v>
      </c>
      <c r="G32" s="25">
        <f>C32*J32+(D32*J32/2)</f>
        <v>1726.7</v>
      </c>
      <c r="H32" s="26">
        <f>0</f>
        <v>0</v>
      </c>
      <c r="I32" s="28">
        <f>F32+G32-H32</f>
        <v>77598.073999999993</v>
      </c>
      <c r="J32" s="51">
        <v>0.05</v>
      </c>
      <c r="K32" s="28">
        <f>B32+C32+D32-E32-I32</f>
        <v>1474363.406</v>
      </c>
    </row>
    <row r="33" spans="1:11" ht="10.5" customHeight="1" x14ac:dyDescent="0.25">
      <c r="A33" s="22" t="s">
        <v>11</v>
      </c>
      <c r="B33" s="31">
        <f t="shared" ref="B33:B38" si="17">K20</f>
        <v>4131859.5549999997</v>
      </c>
      <c r="C33" s="10">
        <f>'FA ADDN IT'!F115</f>
        <v>9584</v>
      </c>
      <c r="D33" s="10">
        <f>'FA ADDN IT'!G115</f>
        <v>0</v>
      </c>
      <c r="E33" s="27">
        <f>0</f>
        <v>0</v>
      </c>
      <c r="F33" s="10">
        <f t="shared" ref="F33:F38" si="18">B33*J33</f>
        <v>619778.93324999989</v>
      </c>
      <c r="G33" s="10">
        <f t="shared" ref="G33:G38" si="19">C33*J33+(D33*J33/2)</f>
        <v>1437.6</v>
      </c>
      <c r="H33" s="27">
        <f>0</f>
        <v>0</v>
      </c>
      <c r="I33" s="29">
        <f t="shared" ref="I33:I38" si="20">F33+G33-H33</f>
        <v>621216.53324999986</v>
      </c>
      <c r="J33" s="52">
        <v>0.15</v>
      </c>
      <c r="K33" s="29">
        <f t="shared" ref="K33:K38" si="21">B33+C33+D33-E33-I33</f>
        <v>3520227.0217499998</v>
      </c>
    </row>
    <row r="34" spans="1:11" ht="10.5" customHeight="1" x14ac:dyDescent="0.25">
      <c r="A34" s="22" t="s">
        <v>12</v>
      </c>
      <c r="B34" s="31">
        <f t="shared" si="17"/>
        <v>1370710.83</v>
      </c>
      <c r="C34" s="10">
        <f>'FA ADDN IT'!F116</f>
        <v>345234</v>
      </c>
      <c r="D34" s="10">
        <f>'FA ADDN IT'!G116</f>
        <v>0</v>
      </c>
      <c r="E34" s="27">
        <f>0</f>
        <v>0</v>
      </c>
      <c r="F34" s="10">
        <f t="shared" si="18"/>
        <v>137071.08300000001</v>
      </c>
      <c r="G34" s="10">
        <f t="shared" si="19"/>
        <v>34523.4</v>
      </c>
      <c r="H34" s="27">
        <f>0</f>
        <v>0</v>
      </c>
      <c r="I34" s="29">
        <f t="shared" si="20"/>
        <v>171594.48300000001</v>
      </c>
      <c r="J34" s="52">
        <v>0.1</v>
      </c>
      <c r="K34" s="29">
        <f t="shared" si="21"/>
        <v>1544350.3470000001</v>
      </c>
    </row>
    <row r="35" spans="1:11" ht="10.5" customHeight="1" x14ac:dyDescent="0.25">
      <c r="A35" s="22" t="s">
        <v>13</v>
      </c>
      <c r="B35" s="31">
        <f t="shared" si="17"/>
        <v>2588181.0575000001</v>
      </c>
      <c r="C35" s="10">
        <f>'FA ADDN IT'!F117</f>
        <v>895533</v>
      </c>
      <c r="D35" s="10">
        <f>'FA ADDN IT'!G117</f>
        <v>0</v>
      </c>
      <c r="E35" s="27">
        <f>0</f>
        <v>0</v>
      </c>
      <c r="F35" s="10">
        <f t="shared" si="18"/>
        <v>388227.15862499998</v>
      </c>
      <c r="G35" s="10">
        <f t="shared" si="19"/>
        <v>134329.94999999998</v>
      </c>
      <c r="H35" s="27">
        <f>0</f>
        <v>0</v>
      </c>
      <c r="I35" s="29">
        <f t="shared" si="20"/>
        <v>522557.10862499999</v>
      </c>
      <c r="J35" s="52">
        <v>0.15</v>
      </c>
      <c r="K35" s="29">
        <f t="shared" si="21"/>
        <v>2961156.9488750002</v>
      </c>
    </row>
    <row r="36" spans="1:11" ht="10.5" customHeight="1" x14ac:dyDescent="0.25">
      <c r="A36" s="22" t="s">
        <v>14</v>
      </c>
      <c r="B36" s="31">
        <f t="shared" si="17"/>
        <v>9061045.9949999992</v>
      </c>
      <c r="C36" s="10">
        <f>'FA ADDN IT'!F118</f>
        <v>89657</v>
      </c>
      <c r="D36" s="10">
        <f>'FA ADDN IT'!G118</f>
        <v>0</v>
      </c>
      <c r="E36" s="27">
        <f>0</f>
        <v>0</v>
      </c>
      <c r="F36" s="10">
        <f t="shared" si="18"/>
        <v>1359156.8992499998</v>
      </c>
      <c r="G36" s="10">
        <f t="shared" si="19"/>
        <v>13448.55</v>
      </c>
      <c r="H36" s="27">
        <f>0</f>
        <v>0</v>
      </c>
      <c r="I36" s="29">
        <f t="shared" si="20"/>
        <v>1372605.4492499998</v>
      </c>
      <c r="J36" s="52">
        <v>0.15</v>
      </c>
      <c r="K36" s="29">
        <f t="shared" si="21"/>
        <v>7778097.5457499996</v>
      </c>
    </row>
    <row r="37" spans="1:11" ht="10.5" customHeight="1" x14ac:dyDescent="0.25">
      <c r="A37" s="22" t="s">
        <v>15</v>
      </c>
      <c r="B37" s="31">
        <f t="shared" si="17"/>
        <v>415456.94000000006</v>
      </c>
      <c r="C37" s="10">
        <f>'FA ADDN IT'!F119</f>
        <v>0</v>
      </c>
      <c r="D37" s="10">
        <f>'FA ADDN IT'!G119</f>
        <v>462313</v>
      </c>
      <c r="E37" s="27">
        <f>0</f>
        <v>0</v>
      </c>
      <c r="F37" s="10">
        <f t="shared" si="18"/>
        <v>249274.16400000002</v>
      </c>
      <c r="G37" s="10">
        <f t="shared" si="19"/>
        <v>138693.9</v>
      </c>
      <c r="H37" s="27">
        <f>0</f>
        <v>0</v>
      </c>
      <c r="I37" s="29">
        <f t="shared" si="20"/>
        <v>387968.06400000001</v>
      </c>
      <c r="J37" s="52">
        <v>0.6</v>
      </c>
      <c r="K37" s="29">
        <f t="shared" si="21"/>
        <v>489801.87600000005</v>
      </c>
    </row>
    <row r="38" spans="1:11" ht="10.5" customHeight="1" thickBot="1" x14ac:dyDescent="0.3">
      <c r="A38" s="22" t="s">
        <v>16</v>
      </c>
      <c r="B38" s="49">
        <f t="shared" si="17"/>
        <v>9021255.9499999993</v>
      </c>
      <c r="C38" s="10">
        <f>'FA ADDN IT'!F120</f>
        <v>0</v>
      </c>
      <c r="D38" s="10">
        <f>'FA ADDN IT'!G120</f>
        <v>59697</v>
      </c>
      <c r="E38" s="27">
        <f>0</f>
        <v>0</v>
      </c>
      <c r="F38" s="10">
        <f t="shared" si="18"/>
        <v>902125.59499999997</v>
      </c>
      <c r="G38" s="10">
        <f t="shared" si="19"/>
        <v>2984.8500000000004</v>
      </c>
      <c r="H38" s="27">
        <f>0</f>
        <v>0</v>
      </c>
      <c r="I38" s="29">
        <f t="shared" si="20"/>
        <v>905110.44499999995</v>
      </c>
      <c r="J38" s="52">
        <v>0.1</v>
      </c>
      <c r="K38" s="29">
        <f t="shared" si="21"/>
        <v>8175842.504999999</v>
      </c>
    </row>
    <row r="39" spans="1:11" ht="10.5" customHeight="1" thickBot="1" x14ac:dyDescent="0.3">
      <c r="A39" s="24"/>
      <c r="B39" s="48">
        <f>SUM(B32:B38)</f>
        <v>28105937.807499997</v>
      </c>
      <c r="C39" s="43">
        <f t="shared" ref="C39:I39" si="22">SUM(C32:C38)</f>
        <v>1374542</v>
      </c>
      <c r="D39" s="43">
        <f t="shared" si="22"/>
        <v>522010</v>
      </c>
      <c r="E39" s="48">
        <f t="shared" si="22"/>
        <v>0</v>
      </c>
      <c r="F39" s="43">
        <f t="shared" si="22"/>
        <v>3731505.2071249997</v>
      </c>
      <c r="G39" s="43">
        <f t="shared" si="22"/>
        <v>327144.94999999995</v>
      </c>
      <c r="H39" s="43">
        <f t="shared" si="22"/>
        <v>0</v>
      </c>
      <c r="I39" s="43">
        <f t="shared" si="22"/>
        <v>4058650.1571249994</v>
      </c>
      <c r="J39" s="48"/>
      <c r="K39" s="43">
        <f t="shared" ref="K39" si="23">SUM(K32:K38)</f>
        <v>25943839.650374997</v>
      </c>
    </row>
    <row r="41" spans="1:11" ht="10.5" customHeight="1" x14ac:dyDescent="0.25">
      <c r="A41" s="202" t="s">
        <v>138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spans="1:11" ht="10.5" customHeight="1" thickBot="1" x14ac:dyDescent="0.3">
      <c r="A42" s="202"/>
      <c r="B42" s="203"/>
      <c r="C42" s="203"/>
      <c r="D42" s="203"/>
      <c r="E42" s="203"/>
      <c r="F42" s="203"/>
      <c r="G42" s="203"/>
      <c r="H42" s="203"/>
      <c r="I42" s="203"/>
      <c r="J42" s="203"/>
      <c r="K42" s="203"/>
    </row>
    <row r="43" spans="1:11" ht="10.5" customHeight="1" thickBot="1" x14ac:dyDescent="0.3">
      <c r="A43" s="204" t="s">
        <v>19</v>
      </c>
      <c r="B43" s="205" t="s">
        <v>22</v>
      </c>
      <c r="C43" s="206" t="s">
        <v>20</v>
      </c>
      <c r="D43" s="206" t="s">
        <v>20</v>
      </c>
      <c r="E43" s="206" t="s">
        <v>23</v>
      </c>
      <c r="F43" s="292" t="s">
        <v>21</v>
      </c>
      <c r="G43" s="293"/>
      <c r="H43" s="294"/>
      <c r="I43" s="206"/>
      <c r="J43" s="206" t="s">
        <v>35</v>
      </c>
      <c r="K43" s="206" t="s">
        <v>7</v>
      </c>
    </row>
    <row r="44" spans="1:11" ht="10.5" customHeight="1" thickBot="1" x14ac:dyDescent="0.3">
      <c r="A44" s="207"/>
      <c r="B44" s="208" t="s">
        <v>132</v>
      </c>
      <c r="C44" s="209" t="s">
        <v>33</v>
      </c>
      <c r="D44" s="209" t="s">
        <v>34</v>
      </c>
      <c r="E44" s="209"/>
      <c r="F44" s="209" t="str">
        <f>B44</f>
        <v>01.04.2020</v>
      </c>
      <c r="G44" s="209" t="s">
        <v>20</v>
      </c>
      <c r="H44" s="209" t="s">
        <v>23</v>
      </c>
      <c r="I44" s="209" t="s">
        <v>24</v>
      </c>
      <c r="J44" s="210" t="s">
        <v>36</v>
      </c>
      <c r="K44" s="209" t="s">
        <v>133</v>
      </c>
    </row>
    <row r="45" spans="1:11" ht="10.5" customHeight="1" x14ac:dyDescent="0.25">
      <c r="A45" s="211" t="s">
        <v>10</v>
      </c>
      <c r="B45" s="189">
        <f>K32</f>
        <v>1474363.406</v>
      </c>
      <c r="C45" s="189">
        <f>'FA ADDN IT'!F123</f>
        <v>8794</v>
      </c>
      <c r="D45" s="189">
        <f>'FA ADDN IT'!G123</f>
        <v>0</v>
      </c>
      <c r="E45" s="212">
        <f>0</f>
        <v>0</v>
      </c>
      <c r="F45" s="189">
        <f>B45*J45</f>
        <v>73718.170299999998</v>
      </c>
      <c r="G45" s="189">
        <f>C45*J45+(D45*J45/2)</f>
        <v>439.70000000000005</v>
      </c>
      <c r="H45" s="212">
        <f>0</f>
        <v>0</v>
      </c>
      <c r="I45" s="213">
        <f>F45+G45-H45</f>
        <v>74157.870299999995</v>
      </c>
      <c r="J45" s="214">
        <v>0.05</v>
      </c>
      <c r="K45" s="213">
        <f>B45+C45+D45-E45-I45</f>
        <v>1408999.5356999999</v>
      </c>
    </row>
    <row r="46" spans="1:11" ht="10.5" customHeight="1" x14ac:dyDescent="0.25">
      <c r="A46" s="215" t="s">
        <v>11</v>
      </c>
      <c r="B46" s="216">
        <f t="shared" ref="B46:B51" si="24">K33</f>
        <v>3520227.0217499998</v>
      </c>
      <c r="C46" s="193">
        <f>'FA ADDN IT'!F124</f>
        <v>0</v>
      </c>
      <c r="D46" s="193">
        <f>'FA ADDN IT'!G124</f>
        <v>9584</v>
      </c>
      <c r="E46" s="217">
        <f>0</f>
        <v>0</v>
      </c>
      <c r="F46" s="193">
        <f t="shared" ref="F46:F51" si="25">B46*J46</f>
        <v>528034.05326249998</v>
      </c>
      <c r="G46" s="193">
        <f t="shared" ref="G46:G51" si="26">C46*J46+(D46*J46/2)</f>
        <v>718.8</v>
      </c>
      <c r="H46" s="217">
        <f>0</f>
        <v>0</v>
      </c>
      <c r="I46" s="218">
        <f t="shared" ref="I46:I51" si="27">F46+G46-H46</f>
        <v>528752.85326250002</v>
      </c>
      <c r="J46" s="219">
        <v>0.15</v>
      </c>
      <c r="K46" s="218">
        <f t="shared" ref="K46:K51" si="28">B46+C46+D46-E46-I46</f>
        <v>3001058.1684874999</v>
      </c>
    </row>
    <row r="47" spans="1:11" ht="10.5" customHeight="1" x14ac:dyDescent="0.25">
      <c r="A47" s="215" t="s">
        <v>12</v>
      </c>
      <c r="B47" s="216">
        <f t="shared" si="24"/>
        <v>1544350.3470000001</v>
      </c>
      <c r="C47" s="193">
        <f>'FA ADDN IT'!F125</f>
        <v>0</v>
      </c>
      <c r="D47" s="193">
        <f>'FA ADDN IT'!G125</f>
        <v>486438</v>
      </c>
      <c r="E47" s="217">
        <f>0</f>
        <v>0</v>
      </c>
      <c r="F47" s="193">
        <f t="shared" si="25"/>
        <v>154435.03470000002</v>
      </c>
      <c r="G47" s="193">
        <f t="shared" si="26"/>
        <v>24321.9</v>
      </c>
      <c r="H47" s="217">
        <f>0</f>
        <v>0</v>
      </c>
      <c r="I47" s="218">
        <f t="shared" si="27"/>
        <v>178756.93470000001</v>
      </c>
      <c r="J47" s="219">
        <v>0.1</v>
      </c>
      <c r="K47" s="218">
        <f t="shared" si="28"/>
        <v>1852031.4123</v>
      </c>
    </row>
    <row r="48" spans="1:11" ht="10.5" customHeight="1" x14ac:dyDescent="0.25">
      <c r="A48" s="215" t="s">
        <v>13</v>
      </c>
      <c r="B48" s="216">
        <f t="shared" si="24"/>
        <v>2961156.9488750002</v>
      </c>
      <c r="C48" s="193">
        <f>'FA ADDN IT'!F126</f>
        <v>0</v>
      </c>
      <c r="D48" s="193">
        <f>'FA ADDN IT'!G126</f>
        <v>895533</v>
      </c>
      <c r="E48" s="217">
        <f>0</f>
        <v>0</v>
      </c>
      <c r="F48" s="193">
        <f t="shared" si="25"/>
        <v>444173.54233125004</v>
      </c>
      <c r="G48" s="193">
        <f t="shared" si="26"/>
        <v>67164.974999999991</v>
      </c>
      <c r="H48" s="217">
        <f>0</f>
        <v>0</v>
      </c>
      <c r="I48" s="218">
        <f t="shared" si="27"/>
        <v>511338.51733125001</v>
      </c>
      <c r="J48" s="219">
        <v>0.15</v>
      </c>
      <c r="K48" s="218">
        <f t="shared" si="28"/>
        <v>3345351.4315437502</v>
      </c>
    </row>
    <row r="49" spans="1:11" ht="10.5" customHeight="1" x14ac:dyDescent="0.25">
      <c r="A49" s="215" t="s">
        <v>14</v>
      </c>
      <c r="B49" s="216">
        <f t="shared" si="24"/>
        <v>7778097.5457499996</v>
      </c>
      <c r="C49" s="193">
        <f>'FA ADDN IT'!F127</f>
        <v>0</v>
      </c>
      <c r="D49" s="193">
        <f>'FA ADDN IT'!G127</f>
        <v>89657</v>
      </c>
      <c r="E49" s="217">
        <f>0</f>
        <v>0</v>
      </c>
      <c r="F49" s="193">
        <f t="shared" si="25"/>
        <v>1166714.6318625</v>
      </c>
      <c r="G49" s="193">
        <f t="shared" si="26"/>
        <v>6724.2749999999996</v>
      </c>
      <c r="H49" s="217">
        <f>0</f>
        <v>0</v>
      </c>
      <c r="I49" s="218">
        <f t="shared" si="27"/>
        <v>1173438.9068624999</v>
      </c>
      <c r="J49" s="219">
        <v>0.15</v>
      </c>
      <c r="K49" s="218">
        <f t="shared" si="28"/>
        <v>6694315.6388874995</v>
      </c>
    </row>
    <row r="50" spans="1:11" ht="10.5" customHeight="1" x14ac:dyDescent="0.25">
      <c r="A50" s="215" t="s">
        <v>15</v>
      </c>
      <c r="B50" s="216">
        <f t="shared" si="24"/>
        <v>489801.87600000005</v>
      </c>
      <c r="C50" s="193">
        <f>'FA ADDN IT'!F128</f>
        <v>0</v>
      </c>
      <c r="D50" s="193">
        <f>'FA ADDN IT'!G128</f>
        <v>48563</v>
      </c>
      <c r="E50" s="217">
        <f>0</f>
        <v>0</v>
      </c>
      <c r="F50" s="193">
        <f t="shared" si="25"/>
        <v>293881.12560000003</v>
      </c>
      <c r="G50" s="193">
        <f t="shared" si="26"/>
        <v>14568.9</v>
      </c>
      <c r="H50" s="217">
        <f>0</f>
        <v>0</v>
      </c>
      <c r="I50" s="218">
        <f t="shared" si="27"/>
        <v>308450.02560000005</v>
      </c>
      <c r="J50" s="219">
        <v>0.6</v>
      </c>
      <c r="K50" s="218">
        <f t="shared" si="28"/>
        <v>229914.8504</v>
      </c>
    </row>
    <row r="51" spans="1:11" ht="10.5" customHeight="1" thickBot="1" x14ac:dyDescent="0.3">
      <c r="A51" s="215" t="s">
        <v>16</v>
      </c>
      <c r="B51" s="220">
        <f t="shared" si="24"/>
        <v>8175842.504999999</v>
      </c>
      <c r="C51" s="193">
        <f>'FA ADDN IT'!F129</f>
        <v>0</v>
      </c>
      <c r="D51" s="193">
        <f>'FA ADDN IT'!G129</f>
        <v>59697</v>
      </c>
      <c r="E51" s="217">
        <f>0</f>
        <v>0</v>
      </c>
      <c r="F51" s="193">
        <f t="shared" si="25"/>
        <v>817584.25049999997</v>
      </c>
      <c r="G51" s="193">
        <f t="shared" si="26"/>
        <v>2984.8500000000004</v>
      </c>
      <c r="H51" s="217">
        <f>0</f>
        <v>0</v>
      </c>
      <c r="I51" s="218">
        <f t="shared" si="27"/>
        <v>820569.10049999994</v>
      </c>
      <c r="J51" s="219">
        <v>0.1</v>
      </c>
      <c r="K51" s="218">
        <f t="shared" si="28"/>
        <v>7414970.4044999992</v>
      </c>
    </row>
    <row r="52" spans="1:11" ht="10.5" customHeight="1" thickBot="1" x14ac:dyDescent="0.3">
      <c r="A52" s="221"/>
      <c r="B52" s="222">
        <f>SUM(B45:B51)</f>
        <v>25943839.650374997</v>
      </c>
      <c r="C52" s="223">
        <f t="shared" ref="C52:I52" si="29">SUM(C45:C51)</f>
        <v>8794</v>
      </c>
      <c r="D52" s="223">
        <f t="shared" si="29"/>
        <v>1589472</v>
      </c>
      <c r="E52" s="222">
        <f t="shared" si="29"/>
        <v>0</v>
      </c>
      <c r="F52" s="223">
        <f t="shared" si="29"/>
        <v>3478540.8085562503</v>
      </c>
      <c r="G52" s="223">
        <f t="shared" si="29"/>
        <v>116923.4</v>
      </c>
      <c r="H52" s="223">
        <f t="shared" si="29"/>
        <v>0</v>
      </c>
      <c r="I52" s="223">
        <f t="shared" si="29"/>
        <v>3595464.2085562497</v>
      </c>
      <c r="J52" s="222"/>
      <c r="K52" s="223">
        <f t="shared" ref="K52" si="30">SUM(K45:K51)</f>
        <v>23946641.441818751</v>
      </c>
    </row>
    <row r="54" spans="1:11" ht="10.5" customHeight="1" x14ac:dyDescent="0.25">
      <c r="A54" s="32" t="s">
        <v>138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0.5" customHeight="1" thickBot="1" x14ac:dyDescent="0.3">
      <c r="A55" s="3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0.5" customHeight="1" thickBot="1" x14ac:dyDescent="0.3">
      <c r="A56" s="33" t="s">
        <v>19</v>
      </c>
      <c r="B56" s="34" t="s">
        <v>22</v>
      </c>
      <c r="C56" s="35" t="s">
        <v>20</v>
      </c>
      <c r="D56" s="35" t="s">
        <v>20</v>
      </c>
      <c r="E56" s="35" t="s">
        <v>23</v>
      </c>
      <c r="F56" s="289" t="s">
        <v>21</v>
      </c>
      <c r="G56" s="290"/>
      <c r="H56" s="291"/>
      <c r="I56" s="35"/>
      <c r="J56" s="35" t="s">
        <v>35</v>
      </c>
      <c r="K56" s="35" t="s">
        <v>7</v>
      </c>
    </row>
    <row r="57" spans="1:11" ht="10.5" customHeight="1" thickBot="1" x14ac:dyDescent="0.3">
      <c r="A57" s="38"/>
      <c r="B57" s="39" t="s">
        <v>134</v>
      </c>
      <c r="C57" s="40" t="s">
        <v>33</v>
      </c>
      <c r="D57" s="40" t="s">
        <v>34</v>
      </c>
      <c r="E57" s="40"/>
      <c r="F57" s="40" t="str">
        <f>B57</f>
        <v>01.04.2021</v>
      </c>
      <c r="G57" s="40" t="s">
        <v>20</v>
      </c>
      <c r="H57" s="40" t="s">
        <v>23</v>
      </c>
      <c r="I57" s="40" t="s">
        <v>24</v>
      </c>
      <c r="J57" s="37" t="s">
        <v>36</v>
      </c>
      <c r="K57" s="40" t="s">
        <v>135</v>
      </c>
    </row>
    <row r="58" spans="1:11" ht="10.5" customHeight="1" x14ac:dyDescent="0.25">
      <c r="A58" s="21" t="s">
        <v>10</v>
      </c>
      <c r="B58" s="25">
        <f>K45</f>
        <v>1408999.5356999999</v>
      </c>
      <c r="C58" s="25">
        <f>'FA ADDN IT'!F132</f>
        <v>8794</v>
      </c>
      <c r="D58" s="25">
        <f>'FA ADDN IT'!G132</f>
        <v>0</v>
      </c>
      <c r="E58" s="26">
        <f>0</f>
        <v>0</v>
      </c>
      <c r="F58" s="25">
        <f>B58*J58</f>
        <v>70449.976784999992</v>
      </c>
      <c r="G58" s="25">
        <f>C58*J58+(D58*J58/2)</f>
        <v>439.70000000000005</v>
      </c>
      <c r="H58" s="26">
        <f>0</f>
        <v>0</v>
      </c>
      <c r="I58" s="28">
        <f>F58+G58-H58</f>
        <v>70889.676784999989</v>
      </c>
      <c r="J58" s="51">
        <v>0.05</v>
      </c>
      <c r="K58" s="28">
        <f>B58+C58+D58-E58-I58</f>
        <v>1346903.858915</v>
      </c>
    </row>
    <row r="59" spans="1:11" ht="10.5" customHeight="1" x14ac:dyDescent="0.25">
      <c r="A59" s="22" t="s">
        <v>11</v>
      </c>
      <c r="B59" s="31">
        <f t="shared" ref="B59:B64" si="31">K46</f>
        <v>3001058.1684874999</v>
      </c>
      <c r="C59" s="10">
        <f>'FA ADDN IT'!F133</f>
        <v>34523</v>
      </c>
      <c r="D59" s="10">
        <f>'FA ADDN IT'!G133</f>
        <v>0</v>
      </c>
      <c r="E59" s="27">
        <f>0</f>
        <v>0</v>
      </c>
      <c r="F59" s="10">
        <f t="shared" ref="F59:F64" si="32">B59*J59</f>
        <v>450158.72527312499</v>
      </c>
      <c r="G59" s="10">
        <f t="shared" ref="G59:G64" si="33">C59*J59+(D59*J59/2)</f>
        <v>5178.45</v>
      </c>
      <c r="H59" s="27">
        <f>0</f>
        <v>0</v>
      </c>
      <c r="I59" s="29">
        <f t="shared" ref="I59:I64" si="34">F59+G59-H59</f>
        <v>455337.175273125</v>
      </c>
      <c r="J59" s="52">
        <v>0.15</v>
      </c>
      <c r="K59" s="29">
        <f t="shared" ref="K59:K64" si="35">B59+C59+D59-E59-I59</f>
        <v>2580243.9932143749</v>
      </c>
    </row>
    <row r="60" spans="1:11" ht="10.5" customHeight="1" x14ac:dyDescent="0.25">
      <c r="A60" s="22" t="s">
        <v>12</v>
      </c>
      <c r="B60" s="31">
        <f t="shared" si="31"/>
        <v>1852031.4123</v>
      </c>
      <c r="C60" s="10">
        <f>'FA ADDN IT'!F134</f>
        <v>95643</v>
      </c>
      <c r="D60" s="10">
        <f>'FA ADDN IT'!G134</f>
        <v>0</v>
      </c>
      <c r="E60" s="27">
        <f>0</f>
        <v>0</v>
      </c>
      <c r="F60" s="10">
        <f t="shared" si="32"/>
        <v>185203.14123000001</v>
      </c>
      <c r="G60" s="10">
        <f t="shared" si="33"/>
        <v>9564.3000000000011</v>
      </c>
      <c r="H60" s="27">
        <f>0</f>
        <v>0</v>
      </c>
      <c r="I60" s="29">
        <f t="shared" si="34"/>
        <v>194767.44123</v>
      </c>
      <c r="J60" s="52">
        <v>0.1</v>
      </c>
      <c r="K60" s="29">
        <f t="shared" si="35"/>
        <v>1752906.97107</v>
      </c>
    </row>
    <row r="61" spans="1:11" ht="10.5" customHeight="1" x14ac:dyDescent="0.25">
      <c r="A61" s="22" t="s">
        <v>13</v>
      </c>
      <c r="B61" s="31">
        <f t="shared" si="31"/>
        <v>3345351.4315437502</v>
      </c>
      <c r="C61" s="10">
        <f>'FA ADDN IT'!F135</f>
        <v>45234</v>
      </c>
      <c r="D61" s="10">
        <f>'FA ADDN IT'!G135</f>
        <v>0</v>
      </c>
      <c r="E61" s="27">
        <f>0</f>
        <v>0</v>
      </c>
      <c r="F61" s="10">
        <f t="shared" si="32"/>
        <v>501802.71473156253</v>
      </c>
      <c r="G61" s="10">
        <f t="shared" si="33"/>
        <v>6785.0999999999995</v>
      </c>
      <c r="H61" s="27">
        <f>0</f>
        <v>0</v>
      </c>
      <c r="I61" s="29">
        <f t="shared" si="34"/>
        <v>508587.81473156251</v>
      </c>
      <c r="J61" s="52">
        <v>0.15</v>
      </c>
      <c r="K61" s="29">
        <f t="shared" si="35"/>
        <v>2881997.6168121877</v>
      </c>
    </row>
    <row r="62" spans="1:11" ht="10.5" customHeight="1" x14ac:dyDescent="0.25">
      <c r="A62" s="22" t="s">
        <v>14</v>
      </c>
      <c r="B62" s="31">
        <f t="shared" si="31"/>
        <v>6694315.6388874995</v>
      </c>
      <c r="C62" s="10">
        <f>'FA ADDN IT'!F136</f>
        <v>356345</v>
      </c>
      <c r="D62" s="10">
        <f>'FA ADDN IT'!G136</f>
        <v>0</v>
      </c>
      <c r="E62" s="27">
        <f>0</f>
        <v>0</v>
      </c>
      <c r="F62" s="10">
        <f t="shared" si="32"/>
        <v>1004147.3458331248</v>
      </c>
      <c r="G62" s="10">
        <f t="shared" si="33"/>
        <v>53451.75</v>
      </c>
      <c r="H62" s="27">
        <f>0</f>
        <v>0</v>
      </c>
      <c r="I62" s="29">
        <f t="shared" si="34"/>
        <v>1057599.0958331248</v>
      </c>
      <c r="J62" s="52">
        <v>0.15</v>
      </c>
      <c r="K62" s="29">
        <f t="shared" si="35"/>
        <v>5993061.5430543749</v>
      </c>
    </row>
    <row r="63" spans="1:11" ht="10.5" customHeight="1" x14ac:dyDescent="0.25">
      <c r="A63" s="22" t="s">
        <v>15</v>
      </c>
      <c r="B63" s="31">
        <f t="shared" si="31"/>
        <v>229914.8504</v>
      </c>
      <c r="C63" s="10">
        <f>'FA ADDN IT'!F137</f>
        <v>456345</v>
      </c>
      <c r="D63" s="10">
        <f>'FA ADDN IT'!G137</f>
        <v>0</v>
      </c>
      <c r="E63" s="27">
        <f>0</f>
        <v>0</v>
      </c>
      <c r="F63" s="10">
        <f t="shared" si="32"/>
        <v>137948.91024</v>
      </c>
      <c r="G63" s="10">
        <f t="shared" si="33"/>
        <v>273807</v>
      </c>
      <c r="H63" s="27">
        <f>0</f>
        <v>0</v>
      </c>
      <c r="I63" s="29">
        <f t="shared" si="34"/>
        <v>411755.91024</v>
      </c>
      <c r="J63" s="52">
        <v>0.6</v>
      </c>
      <c r="K63" s="29">
        <f t="shared" si="35"/>
        <v>274503.94016</v>
      </c>
    </row>
    <row r="64" spans="1:11" ht="10.5" customHeight="1" thickBot="1" x14ac:dyDescent="0.3">
      <c r="A64" s="22" t="s">
        <v>16</v>
      </c>
      <c r="B64" s="49">
        <f t="shared" si="31"/>
        <v>7414970.4044999992</v>
      </c>
      <c r="C64" s="10">
        <f>'FA ADDN IT'!F138</f>
        <v>0</v>
      </c>
      <c r="D64" s="10">
        <f>'FA ADDN IT'!G138</f>
        <v>34567</v>
      </c>
      <c r="E64" s="27">
        <f>0</f>
        <v>0</v>
      </c>
      <c r="F64" s="10">
        <f t="shared" si="32"/>
        <v>741497.04044999997</v>
      </c>
      <c r="G64" s="10">
        <f t="shared" si="33"/>
        <v>1728.3500000000001</v>
      </c>
      <c r="H64" s="27">
        <f>0</f>
        <v>0</v>
      </c>
      <c r="I64" s="29">
        <f t="shared" si="34"/>
        <v>743225.39044999995</v>
      </c>
      <c r="J64" s="52">
        <v>0.1</v>
      </c>
      <c r="K64" s="29">
        <f t="shared" si="35"/>
        <v>6706312.0140499994</v>
      </c>
    </row>
    <row r="65" spans="1:11" ht="10.5" customHeight="1" thickBot="1" x14ac:dyDescent="0.3">
      <c r="A65" s="24"/>
      <c r="B65" s="48">
        <f>SUM(B58:B64)</f>
        <v>23946641.441818751</v>
      </c>
      <c r="C65" s="43">
        <f t="shared" ref="C65:I65" si="36">SUM(C58:C64)</f>
        <v>996884</v>
      </c>
      <c r="D65" s="43">
        <f t="shared" si="36"/>
        <v>34567</v>
      </c>
      <c r="E65" s="48">
        <f t="shared" si="36"/>
        <v>0</v>
      </c>
      <c r="F65" s="43">
        <f t="shared" si="36"/>
        <v>3091207.8545428123</v>
      </c>
      <c r="G65" s="43">
        <f t="shared" si="36"/>
        <v>350954.64999999997</v>
      </c>
      <c r="H65" s="43">
        <f t="shared" si="36"/>
        <v>0</v>
      </c>
      <c r="I65" s="43">
        <f t="shared" si="36"/>
        <v>3442162.5045428122</v>
      </c>
      <c r="J65" s="48"/>
      <c r="K65" s="43">
        <f t="shared" ref="K65" si="37">SUM(K58:K64)</f>
        <v>21535929.937275939</v>
      </c>
    </row>
    <row r="67" spans="1:11" ht="10.5" customHeight="1" x14ac:dyDescent="0.25">
      <c r="A67" s="202" t="s">
        <v>138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</row>
    <row r="68" spans="1:11" ht="10.5" customHeight="1" thickBot="1" x14ac:dyDescent="0.3">
      <c r="A68" s="202"/>
      <c r="B68" s="203"/>
      <c r="C68" s="203"/>
      <c r="D68" s="203"/>
      <c r="E68" s="203"/>
      <c r="F68" s="203"/>
      <c r="G68" s="203"/>
      <c r="H68" s="203"/>
      <c r="I68" s="203"/>
      <c r="J68" s="203"/>
      <c r="K68" s="203"/>
    </row>
    <row r="69" spans="1:11" ht="10.5" customHeight="1" thickBot="1" x14ac:dyDescent="0.3">
      <c r="A69" s="204" t="s">
        <v>19</v>
      </c>
      <c r="B69" s="205" t="s">
        <v>22</v>
      </c>
      <c r="C69" s="206" t="s">
        <v>20</v>
      </c>
      <c r="D69" s="206" t="s">
        <v>20</v>
      </c>
      <c r="E69" s="206" t="s">
        <v>23</v>
      </c>
      <c r="F69" s="292" t="s">
        <v>21</v>
      </c>
      <c r="G69" s="293"/>
      <c r="H69" s="294"/>
      <c r="I69" s="206"/>
      <c r="J69" s="206" t="s">
        <v>35</v>
      </c>
      <c r="K69" s="206" t="s">
        <v>7</v>
      </c>
    </row>
    <row r="70" spans="1:11" ht="10.5" customHeight="1" thickBot="1" x14ac:dyDescent="0.3">
      <c r="A70" s="207"/>
      <c r="B70" s="208" t="s">
        <v>136</v>
      </c>
      <c r="C70" s="209" t="s">
        <v>33</v>
      </c>
      <c r="D70" s="209" t="s">
        <v>34</v>
      </c>
      <c r="E70" s="209"/>
      <c r="F70" s="209" t="str">
        <f>B70</f>
        <v>01.04.2022</v>
      </c>
      <c r="G70" s="209" t="s">
        <v>20</v>
      </c>
      <c r="H70" s="209" t="s">
        <v>23</v>
      </c>
      <c r="I70" s="209" t="s">
        <v>24</v>
      </c>
      <c r="J70" s="210" t="s">
        <v>36</v>
      </c>
      <c r="K70" s="209" t="s">
        <v>139</v>
      </c>
    </row>
    <row r="71" spans="1:11" ht="10.5" customHeight="1" x14ac:dyDescent="0.25">
      <c r="A71" s="211" t="s">
        <v>10</v>
      </c>
      <c r="B71" s="189">
        <f>K58</f>
        <v>1346903.858915</v>
      </c>
      <c r="C71" s="189">
        <f>'FA ADDN IT'!F141</f>
        <v>5454</v>
      </c>
      <c r="D71" s="189">
        <f>'FA ADDN IT'!G141</f>
        <v>0</v>
      </c>
      <c r="E71" s="212">
        <f>0</f>
        <v>0</v>
      </c>
      <c r="F71" s="189">
        <f>B71*J71</f>
        <v>67345.192945750008</v>
      </c>
      <c r="G71" s="189">
        <f>C71*J71+(D71*J71/2)</f>
        <v>272.7</v>
      </c>
      <c r="H71" s="212">
        <f>0</f>
        <v>0</v>
      </c>
      <c r="I71" s="213">
        <f>F71+G71-H71</f>
        <v>67617.892945750005</v>
      </c>
      <c r="J71" s="214">
        <v>0.05</v>
      </c>
      <c r="K71" s="213">
        <f>B71+C71+D71-E71-I71</f>
        <v>1284739.9659692501</v>
      </c>
    </row>
    <row r="72" spans="1:11" ht="10.5" customHeight="1" x14ac:dyDescent="0.25">
      <c r="A72" s="215" t="s">
        <v>11</v>
      </c>
      <c r="B72" s="216">
        <f t="shared" ref="B72:B77" si="38">K59</f>
        <v>2580243.9932143749</v>
      </c>
      <c r="C72" s="193">
        <f>'FA ADDN IT'!F142</f>
        <v>87655</v>
      </c>
      <c r="D72" s="193">
        <f>'FA ADDN IT'!G142</f>
        <v>0</v>
      </c>
      <c r="E72" s="217">
        <f>0</f>
        <v>0</v>
      </c>
      <c r="F72" s="193">
        <f t="shared" ref="F72:F77" si="39">B72*J72</f>
        <v>387036.5989821562</v>
      </c>
      <c r="G72" s="193">
        <f t="shared" ref="G72:G77" si="40">C72*J72+(D72*J72/2)</f>
        <v>13148.25</v>
      </c>
      <c r="H72" s="217">
        <f>0</f>
        <v>0</v>
      </c>
      <c r="I72" s="218">
        <f t="shared" ref="I72:I77" si="41">F72+G72-H72</f>
        <v>400184.8489821562</v>
      </c>
      <c r="J72" s="219">
        <v>0.15</v>
      </c>
      <c r="K72" s="218">
        <f t="shared" ref="K72:K77" si="42">B72+C72+D72-E72-I72</f>
        <v>2267714.1442322186</v>
      </c>
    </row>
    <row r="73" spans="1:11" ht="10.5" customHeight="1" x14ac:dyDescent="0.25">
      <c r="A73" s="215" t="s">
        <v>12</v>
      </c>
      <c r="B73" s="216">
        <f t="shared" si="38"/>
        <v>1752906.97107</v>
      </c>
      <c r="C73" s="193">
        <f>'FA ADDN IT'!F143</f>
        <v>67544</v>
      </c>
      <c r="D73" s="193">
        <f>'FA ADDN IT'!G143</f>
        <v>0</v>
      </c>
      <c r="E73" s="217">
        <f>0</f>
        <v>0</v>
      </c>
      <c r="F73" s="193">
        <f t="shared" si="39"/>
        <v>175290.69710700001</v>
      </c>
      <c r="G73" s="193">
        <f t="shared" si="40"/>
        <v>6754.4000000000005</v>
      </c>
      <c r="H73" s="217">
        <f>0</f>
        <v>0</v>
      </c>
      <c r="I73" s="218">
        <f t="shared" si="41"/>
        <v>182045.09710700001</v>
      </c>
      <c r="J73" s="219">
        <v>0.1</v>
      </c>
      <c r="K73" s="218">
        <f t="shared" si="42"/>
        <v>1638405.873963</v>
      </c>
    </row>
    <row r="74" spans="1:11" ht="10.5" customHeight="1" x14ac:dyDescent="0.25">
      <c r="A74" s="215" t="s">
        <v>13</v>
      </c>
      <c r="B74" s="216">
        <f t="shared" si="38"/>
        <v>2881997.6168121877</v>
      </c>
      <c r="C74" s="193">
        <f>'FA ADDN IT'!F144</f>
        <v>675464</v>
      </c>
      <c r="D74" s="193">
        <f>'FA ADDN IT'!G144</f>
        <v>0</v>
      </c>
      <c r="E74" s="217">
        <f>0</f>
        <v>0</v>
      </c>
      <c r="F74" s="193">
        <f t="shared" si="39"/>
        <v>432299.64252182812</v>
      </c>
      <c r="G74" s="193">
        <f t="shared" si="40"/>
        <v>101319.59999999999</v>
      </c>
      <c r="H74" s="217">
        <f>0</f>
        <v>0</v>
      </c>
      <c r="I74" s="218">
        <f t="shared" si="41"/>
        <v>533619.24252182816</v>
      </c>
      <c r="J74" s="219">
        <v>0.15</v>
      </c>
      <c r="K74" s="218">
        <f t="shared" si="42"/>
        <v>3023842.3742903597</v>
      </c>
    </row>
    <row r="75" spans="1:11" ht="10.5" customHeight="1" x14ac:dyDescent="0.25">
      <c r="A75" s="215" t="s">
        <v>14</v>
      </c>
      <c r="B75" s="216">
        <f t="shared" si="38"/>
        <v>5993061.5430543749</v>
      </c>
      <c r="C75" s="193">
        <f>'FA ADDN IT'!F145</f>
        <v>0</v>
      </c>
      <c r="D75" s="193">
        <f>'FA ADDN IT'!G145</f>
        <v>657456</v>
      </c>
      <c r="E75" s="217">
        <f>0</f>
        <v>0</v>
      </c>
      <c r="F75" s="193">
        <f t="shared" si="39"/>
        <v>898959.23145815625</v>
      </c>
      <c r="G75" s="193">
        <f t="shared" si="40"/>
        <v>49309.2</v>
      </c>
      <c r="H75" s="217">
        <f>0</f>
        <v>0</v>
      </c>
      <c r="I75" s="218">
        <f t="shared" si="41"/>
        <v>948268.43145815621</v>
      </c>
      <c r="J75" s="219">
        <v>0.15</v>
      </c>
      <c r="K75" s="218">
        <f t="shared" si="42"/>
        <v>5702249.1115962183</v>
      </c>
    </row>
    <row r="76" spans="1:11" ht="10.5" customHeight="1" x14ac:dyDescent="0.25">
      <c r="A76" s="215" t="s">
        <v>15</v>
      </c>
      <c r="B76" s="216">
        <f t="shared" si="38"/>
        <v>274503.94016</v>
      </c>
      <c r="C76" s="193">
        <f>'FA ADDN IT'!F146</f>
        <v>0</v>
      </c>
      <c r="D76" s="193">
        <f>'FA ADDN IT'!G146</f>
        <v>54645</v>
      </c>
      <c r="E76" s="217">
        <f>0</f>
        <v>0</v>
      </c>
      <c r="F76" s="193">
        <f t="shared" si="39"/>
        <v>164702.364096</v>
      </c>
      <c r="G76" s="193">
        <f t="shared" si="40"/>
        <v>16393.5</v>
      </c>
      <c r="H76" s="217">
        <f>0</f>
        <v>0</v>
      </c>
      <c r="I76" s="218">
        <f t="shared" si="41"/>
        <v>181095.864096</v>
      </c>
      <c r="J76" s="219">
        <v>0.6</v>
      </c>
      <c r="K76" s="218">
        <f t="shared" si="42"/>
        <v>148053.07606399999</v>
      </c>
    </row>
    <row r="77" spans="1:11" ht="10.5" customHeight="1" thickBot="1" x14ac:dyDescent="0.3">
      <c r="A77" s="215" t="s">
        <v>16</v>
      </c>
      <c r="B77" s="220">
        <f t="shared" si="38"/>
        <v>6706312.0140499994</v>
      </c>
      <c r="C77" s="193">
        <f>'FA ADDN IT'!F147</f>
        <v>0</v>
      </c>
      <c r="D77" s="193">
        <f>'FA ADDN IT'!G147</f>
        <v>456345</v>
      </c>
      <c r="E77" s="217">
        <f>0</f>
        <v>0</v>
      </c>
      <c r="F77" s="193">
        <f t="shared" si="39"/>
        <v>670631.20140499994</v>
      </c>
      <c r="G77" s="193">
        <f t="shared" si="40"/>
        <v>22817.25</v>
      </c>
      <c r="H77" s="217">
        <f>0</f>
        <v>0</v>
      </c>
      <c r="I77" s="218">
        <f t="shared" si="41"/>
        <v>693448.45140499994</v>
      </c>
      <c r="J77" s="219">
        <v>0.1</v>
      </c>
      <c r="K77" s="218">
        <f t="shared" si="42"/>
        <v>6469208.5626449995</v>
      </c>
    </row>
    <row r="78" spans="1:11" ht="10.5" customHeight="1" thickBot="1" x14ac:dyDescent="0.3">
      <c r="A78" s="221"/>
      <c r="B78" s="222">
        <f>SUM(B71:B77)</f>
        <v>21535929.937275939</v>
      </c>
      <c r="C78" s="223">
        <f t="shared" ref="C78:I78" si="43">SUM(C71:C77)</f>
        <v>836117</v>
      </c>
      <c r="D78" s="223">
        <f t="shared" si="43"/>
        <v>1168446</v>
      </c>
      <c r="E78" s="222">
        <f t="shared" si="43"/>
        <v>0</v>
      </c>
      <c r="F78" s="223">
        <f t="shared" si="43"/>
        <v>2796264.9285158906</v>
      </c>
      <c r="G78" s="223">
        <f t="shared" si="43"/>
        <v>210014.9</v>
      </c>
      <c r="H78" s="223">
        <f t="shared" si="43"/>
        <v>0</v>
      </c>
      <c r="I78" s="223">
        <f t="shared" si="43"/>
        <v>3006279.8285158901</v>
      </c>
      <c r="J78" s="222"/>
      <c r="K78" s="223">
        <f t="shared" ref="K78" si="44">SUM(K71:K77)</f>
        <v>20534213.108760044</v>
      </c>
    </row>
  </sheetData>
  <mergeCells count="6">
    <mergeCell ref="F56:H56"/>
    <mergeCell ref="F69:H69"/>
    <mergeCell ref="F4:H4"/>
    <mergeCell ref="F17:H17"/>
    <mergeCell ref="F30:H30"/>
    <mergeCell ref="F43:H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/>
  </sheetViews>
  <sheetFormatPr defaultRowHeight="10.5" x14ac:dyDescent="0.15"/>
  <cols>
    <col min="1" max="1" width="6.140625" style="1" bestFit="1" customWidth="1"/>
    <col min="2" max="3" width="33.140625" style="1" bestFit="1" customWidth="1"/>
    <col min="4" max="4" width="9.85546875" style="1" bestFit="1" customWidth="1"/>
    <col min="5" max="5" width="9" style="1" bestFit="1" customWidth="1"/>
    <col min="6" max="6" width="14.85546875" style="1" bestFit="1" customWidth="1"/>
    <col min="7" max="7" width="12.140625" style="1" customWidth="1"/>
    <col min="8" max="16384" width="9.140625" style="1"/>
  </cols>
  <sheetData>
    <row r="1" spans="1:7" ht="11.25" thickBot="1" x14ac:dyDescent="0.2"/>
    <row r="2" spans="1:7" ht="32.25" thickBot="1" x14ac:dyDescent="0.2">
      <c r="A2" s="45" t="s">
        <v>0</v>
      </c>
      <c r="B2" s="44" t="s">
        <v>1</v>
      </c>
      <c r="C2" s="44" t="s">
        <v>2</v>
      </c>
      <c r="D2" s="46" t="s">
        <v>3</v>
      </c>
      <c r="E2" s="44" t="s">
        <v>30</v>
      </c>
      <c r="F2" s="44" t="s">
        <v>31</v>
      </c>
      <c r="G2" s="44" t="s">
        <v>29</v>
      </c>
    </row>
    <row r="3" spans="1:7" x14ac:dyDescent="0.15">
      <c r="A3" s="10">
        <v>1</v>
      </c>
      <c r="B3" s="7" t="s">
        <v>10</v>
      </c>
      <c r="C3" s="7" t="s">
        <v>10</v>
      </c>
      <c r="D3" s="11">
        <v>42829</v>
      </c>
      <c r="E3" s="7"/>
      <c r="F3" s="7">
        <v>103758</v>
      </c>
      <c r="G3" s="13"/>
    </row>
    <row r="4" spans="1:7" x14ac:dyDescent="0.15">
      <c r="A4" s="10">
        <v>3</v>
      </c>
      <c r="B4" s="7" t="s">
        <v>10</v>
      </c>
      <c r="C4" s="7" t="s">
        <v>10</v>
      </c>
      <c r="D4" s="11">
        <v>42839</v>
      </c>
      <c r="E4" s="7"/>
      <c r="F4" s="7">
        <v>79606</v>
      </c>
      <c r="G4" s="13"/>
    </row>
    <row r="5" spans="1:7" x14ac:dyDescent="0.15">
      <c r="A5" s="10">
        <v>4</v>
      </c>
      <c r="B5" s="7" t="s">
        <v>10</v>
      </c>
      <c r="C5" s="7" t="s">
        <v>10</v>
      </c>
      <c r="D5" s="11">
        <v>42844</v>
      </c>
      <c r="E5" s="7"/>
      <c r="F5" s="7">
        <v>3306</v>
      </c>
      <c r="G5" s="13"/>
    </row>
    <row r="6" spans="1:7" x14ac:dyDescent="0.15">
      <c r="A6" s="10">
        <v>6</v>
      </c>
      <c r="B6" s="7" t="s">
        <v>10</v>
      </c>
      <c r="C6" s="7" t="s">
        <v>10</v>
      </c>
      <c r="D6" s="11">
        <v>42854</v>
      </c>
      <c r="E6" s="7"/>
      <c r="F6" s="7">
        <v>13500</v>
      </c>
      <c r="G6" s="13"/>
    </row>
    <row r="7" spans="1:7" x14ac:dyDescent="0.15">
      <c r="A7" s="10">
        <v>7</v>
      </c>
      <c r="B7" s="7" t="s">
        <v>10</v>
      </c>
      <c r="C7" s="7" t="s">
        <v>10</v>
      </c>
      <c r="D7" s="11">
        <v>42859</v>
      </c>
      <c r="E7" s="7"/>
      <c r="F7" s="7">
        <v>256348</v>
      </c>
      <c r="G7" s="13"/>
    </row>
    <row r="8" spans="1:7" x14ac:dyDescent="0.15">
      <c r="A8" s="10">
        <v>8</v>
      </c>
      <c r="B8" s="7" t="s">
        <v>10</v>
      </c>
      <c r="C8" s="7" t="s">
        <v>10</v>
      </c>
      <c r="D8" s="11">
        <v>42864</v>
      </c>
      <c r="E8" s="7"/>
      <c r="F8" s="7">
        <v>104111</v>
      </c>
      <c r="G8" s="13"/>
    </row>
    <row r="9" spans="1:7" x14ac:dyDescent="0.15">
      <c r="A9" s="10">
        <v>9</v>
      </c>
      <c r="B9" s="7" t="s">
        <v>10</v>
      </c>
      <c r="C9" s="7" t="s">
        <v>10</v>
      </c>
      <c r="D9" s="11">
        <v>42869</v>
      </c>
      <c r="E9" s="7"/>
      <c r="F9" s="7">
        <v>91255</v>
      </c>
      <c r="G9" s="13"/>
    </row>
    <row r="10" spans="1:7" x14ac:dyDescent="0.15">
      <c r="A10" s="10">
        <v>10</v>
      </c>
      <c r="B10" s="7" t="s">
        <v>10</v>
      </c>
      <c r="C10" s="7" t="s">
        <v>10</v>
      </c>
      <c r="D10" s="11">
        <v>42874</v>
      </c>
      <c r="E10" s="7"/>
      <c r="F10" s="7">
        <v>79871</v>
      </c>
      <c r="G10" s="13"/>
    </row>
    <row r="11" spans="1:7" x14ac:dyDescent="0.15">
      <c r="A11" s="10">
        <v>11</v>
      </c>
      <c r="B11" s="7" t="s">
        <v>10</v>
      </c>
      <c r="C11" s="7" t="s">
        <v>10</v>
      </c>
      <c r="D11" s="11">
        <v>42879</v>
      </c>
      <c r="E11" s="7"/>
      <c r="F11" s="7">
        <v>3348</v>
      </c>
      <c r="G11" s="13"/>
    </row>
    <row r="12" spans="1:7" x14ac:dyDescent="0.15">
      <c r="A12" s="10">
        <v>13</v>
      </c>
      <c r="B12" s="7" t="s">
        <v>10</v>
      </c>
      <c r="C12" s="7" t="s">
        <v>10</v>
      </c>
      <c r="D12" s="11">
        <v>42889</v>
      </c>
      <c r="E12" s="7"/>
      <c r="F12" s="7">
        <v>14250</v>
      </c>
      <c r="G12" s="13"/>
    </row>
    <row r="13" spans="1:7" x14ac:dyDescent="0.15">
      <c r="A13" s="10">
        <v>15</v>
      </c>
      <c r="B13" s="7" t="s">
        <v>10</v>
      </c>
      <c r="C13" s="7" t="s">
        <v>10</v>
      </c>
      <c r="D13" s="11">
        <v>42899</v>
      </c>
      <c r="E13" s="7"/>
      <c r="F13" s="7">
        <v>100890</v>
      </c>
      <c r="G13" s="13"/>
    </row>
    <row r="14" spans="1:7" x14ac:dyDescent="0.15">
      <c r="A14" s="10">
        <v>16</v>
      </c>
      <c r="B14" s="7" t="s">
        <v>11</v>
      </c>
      <c r="C14" s="7" t="s">
        <v>11</v>
      </c>
      <c r="D14" s="11">
        <v>42829</v>
      </c>
      <c r="E14" s="7"/>
      <c r="F14" s="7">
        <v>88840</v>
      </c>
      <c r="G14" s="13"/>
    </row>
    <row r="15" spans="1:7" x14ac:dyDescent="0.15">
      <c r="A15" s="10">
        <v>17</v>
      </c>
      <c r="B15" s="7" t="s">
        <v>11</v>
      </c>
      <c r="C15" s="7" t="s">
        <v>11</v>
      </c>
      <c r="D15" s="11">
        <v>42834</v>
      </c>
      <c r="E15" s="7"/>
      <c r="F15" s="7">
        <v>77456</v>
      </c>
      <c r="G15" s="13"/>
    </row>
    <row r="16" spans="1:7" x14ac:dyDescent="0.15">
      <c r="A16" s="10">
        <v>18</v>
      </c>
      <c r="B16" s="7" t="s">
        <v>11</v>
      </c>
      <c r="C16" s="7" t="s">
        <v>11</v>
      </c>
      <c r="D16" s="11">
        <v>42839</v>
      </c>
      <c r="E16" s="7"/>
      <c r="F16" s="7">
        <v>3283</v>
      </c>
      <c r="G16" s="13"/>
    </row>
    <row r="17" spans="1:7" x14ac:dyDescent="0.15">
      <c r="A17" s="10">
        <v>20</v>
      </c>
      <c r="B17" s="7" t="s">
        <v>11</v>
      </c>
      <c r="C17" s="7" t="s">
        <v>11</v>
      </c>
      <c r="D17" s="11">
        <v>42849</v>
      </c>
      <c r="E17" s="7"/>
      <c r="F17" s="7">
        <v>14250</v>
      </c>
      <c r="G17" s="13"/>
    </row>
    <row r="18" spans="1:7" x14ac:dyDescent="0.15">
      <c r="A18" s="10">
        <v>21</v>
      </c>
      <c r="B18" s="7" t="s">
        <v>11</v>
      </c>
      <c r="C18" s="7" t="s">
        <v>11</v>
      </c>
      <c r="D18" s="11">
        <v>42854</v>
      </c>
      <c r="E18" s="7"/>
      <c r="F18" s="7">
        <v>24</v>
      </c>
      <c r="G18" s="13"/>
    </row>
    <row r="19" spans="1:7" x14ac:dyDescent="0.15">
      <c r="A19" s="10">
        <v>23</v>
      </c>
      <c r="B19" s="7" t="s">
        <v>11</v>
      </c>
      <c r="C19" s="7" t="s">
        <v>11</v>
      </c>
      <c r="D19" s="11">
        <v>42864</v>
      </c>
      <c r="E19" s="7"/>
      <c r="F19" s="7">
        <v>102614</v>
      </c>
      <c r="G19" s="13"/>
    </row>
    <row r="20" spans="1:7" x14ac:dyDescent="0.15">
      <c r="A20" s="10">
        <v>24</v>
      </c>
      <c r="B20" s="7" t="s">
        <v>11</v>
      </c>
      <c r="C20" s="7" t="s">
        <v>11</v>
      </c>
      <c r="D20" s="11">
        <v>42869</v>
      </c>
      <c r="E20" s="7"/>
      <c r="F20" s="7">
        <v>90132</v>
      </c>
      <c r="G20" s="13"/>
    </row>
    <row r="21" spans="1:7" x14ac:dyDescent="0.15">
      <c r="A21" s="10">
        <v>25</v>
      </c>
      <c r="B21" s="7" t="s">
        <v>11</v>
      </c>
      <c r="C21" s="7" t="s">
        <v>11</v>
      </c>
      <c r="D21" s="11">
        <v>42874</v>
      </c>
      <c r="E21" s="7"/>
      <c r="F21" s="7">
        <v>78748</v>
      </c>
      <c r="G21" s="13"/>
    </row>
    <row r="22" spans="1:7" x14ac:dyDescent="0.15">
      <c r="A22" s="10">
        <v>28</v>
      </c>
      <c r="B22" s="7" t="s">
        <v>11</v>
      </c>
      <c r="C22" s="7" t="s">
        <v>11</v>
      </c>
      <c r="D22" s="11">
        <v>42889</v>
      </c>
      <c r="E22" s="7"/>
      <c r="F22" s="7">
        <v>14250</v>
      </c>
      <c r="G22" s="13"/>
    </row>
    <row r="23" spans="1:7" x14ac:dyDescent="0.15">
      <c r="A23" s="10">
        <v>29</v>
      </c>
      <c r="B23" s="7" t="s">
        <v>11</v>
      </c>
      <c r="C23" s="7" t="s">
        <v>11</v>
      </c>
      <c r="D23" s="11">
        <v>42894</v>
      </c>
      <c r="E23" s="7"/>
      <c r="F23" s="7">
        <v>252876</v>
      </c>
      <c r="G23" s="13"/>
    </row>
    <row r="24" spans="1:7" x14ac:dyDescent="0.15">
      <c r="A24" s="10">
        <v>31</v>
      </c>
      <c r="B24" s="7" t="s">
        <v>11</v>
      </c>
      <c r="C24" s="7" t="s">
        <v>11</v>
      </c>
      <c r="D24" s="11">
        <v>42904</v>
      </c>
      <c r="E24" s="7"/>
      <c r="F24" s="7">
        <v>90242</v>
      </c>
      <c r="G24" s="13"/>
    </row>
    <row r="25" spans="1:7" x14ac:dyDescent="0.15">
      <c r="A25" s="10">
        <v>33</v>
      </c>
      <c r="B25" s="7" t="s">
        <v>11</v>
      </c>
      <c r="C25" s="7" t="s">
        <v>11</v>
      </c>
      <c r="D25" s="11">
        <v>42914</v>
      </c>
      <c r="E25" s="7"/>
      <c r="F25" s="7">
        <v>3149</v>
      </c>
      <c r="G25" s="13"/>
    </row>
    <row r="26" spans="1:7" x14ac:dyDescent="0.15">
      <c r="A26" s="10">
        <v>35</v>
      </c>
      <c r="B26" s="7" t="s">
        <v>11</v>
      </c>
      <c r="C26" s="7" t="s">
        <v>11</v>
      </c>
      <c r="D26" s="11">
        <v>42924</v>
      </c>
      <c r="E26" s="7"/>
      <c r="F26" s="7">
        <v>14250</v>
      </c>
      <c r="G26" s="13"/>
    </row>
    <row r="27" spans="1:7" x14ac:dyDescent="0.15">
      <c r="A27" s="10">
        <v>36</v>
      </c>
      <c r="B27" s="7" t="s">
        <v>12</v>
      </c>
      <c r="C27" s="7" t="s">
        <v>12</v>
      </c>
      <c r="D27" s="11">
        <v>42829</v>
      </c>
      <c r="E27" s="7"/>
      <c r="F27" s="7">
        <v>255760</v>
      </c>
      <c r="G27" s="13"/>
    </row>
    <row r="28" spans="1:7" x14ac:dyDescent="0.15">
      <c r="A28" s="10">
        <v>40</v>
      </c>
      <c r="B28" s="7" t="s">
        <v>12</v>
      </c>
      <c r="C28" s="7" t="s">
        <v>12</v>
      </c>
      <c r="D28" s="11">
        <v>42849</v>
      </c>
      <c r="E28" s="7"/>
      <c r="F28" s="7">
        <v>3113</v>
      </c>
      <c r="G28" s="13"/>
    </row>
    <row r="29" spans="1:7" x14ac:dyDescent="0.15">
      <c r="A29" s="10">
        <v>42</v>
      </c>
      <c r="B29" s="7" t="s">
        <v>12</v>
      </c>
      <c r="C29" s="7" t="s">
        <v>12</v>
      </c>
      <c r="D29" s="11">
        <v>42859</v>
      </c>
      <c r="E29" s="7"/>
      <c r="F29" s="7">
        <v>14250</v>
      </c>
      <c r="G29" s="13"/>
    </row>
    <row r="30" spans="1:7" x14ac:dyDescent="0.15">
      <c r="A30" s="10">
        <v>43</v>
      </c>
      <c r="B30" s="7" t="s">
        <v>12</v>
      </c>
      <c r="C30" s="7" t="s">
        <v>12</v>
      </c>
      <c r="D30" s="11">
        <v>42864</v>
      </c>
      <c r="E30" s="7"/>
      <c r="F30" s="7">
        <v>240699</v>
      </c>
      <c r="G30" s="13"/>
    </row>
    <row r="31" spans="1:7" x14ac:dyDescent="0.15">
      <c r="A31" s="10">
        <v>44</v>
      </c>
      <c r="B31" s="7" t="s">
        <v>12</v>
      </c>
      <c r="C31" s="7" t="s">
        <v>12</v>
      </c>
      <c r="D31" s="11">
        <v>42869</v>
      </c>
      <c r="E31" s="7"/>
      <c r="F31" s="7">
        <v>109458</v>
      </c>
      <c r="G31" s="13"/>
    </row>
    <row r="32" spans="1:7" x14ac:dyDescent="0.15">
      <c r="A32" s="10">
        <v>45</v>
      </c>
      <c r="B32" s="7" t="s">
        <v>12</v>
      </c>
      <c r="C32" s="7" t="s">
        <v>12</v>
      </c>
      <c r="D32" s="11">
        <v>42874</v>
      </c>
      <c r="E32" s="7"/>
      <c r="F32" s="7">
        <v>91823</v>
      </c>
      <c r="G32" s="13"/>
    </row>
    <row r="33" spans="1:7" x14ac:dyDescent="0.15">
      <c r="A33" s="10">
        <v>46</v>
      </c>
      <c r="B33" s="7" t="s">
        <v>12</v>
      </c>
      <c r="C33" s="7" t="s">
        <v>12</v>
      </c>
      <c r="D33" s="11">
        <v>42879</v>
      </c>
      <c r="E33" s="7"/>
      <c r="F33" s="7">
        <v>82407</v>
      </c>
      <c r="G33" s="13"/>
    </row>
    <row r="34" spans="1:7" x14ac:dyDescent="0.15">
      <c r="A34" s="10">
        <v>48</v>
      </c>
      <c r="B34" s="7" t="s">
        <v>12</v>
      </c>
      <c r="C34" s="7" t="s">
        <v>12</v>
      </c>
      <c r="D34" s="11">
        <v>42889</v>
      </c>
      <c r="E34" s="7"/>
      <c r="F34" s="7">
        <v>1400</v>
      </c>
      <c r="G34" s="13"/>
    </row>
    <row r="35" spans="1:7" x14ac:dyDescent="0.15">
      <c r="A35" s="10">
        <v>49</v>
      </c>
      <c r="B35" s="7" t="s">
        <v>12</v>
      </c>
      <c r="C35" s="7" t="s">
        <v>12</v>
      </c>
      <c r="D35" s="11">
        <v>42894</v>
      </c>
      <c r="E35" s="7"/>
      <c r="F35" s="7">
        <v>14250</v>
      </c>
      <c r="G35" s="13"/>
    </row>
    <row r="36" spans="1:7" x14ac:dyDescent="0.15">
      <c r="A36" s="10">
        <v>50</v>
      </c>
      <c r="B36" s="7" t="s">
        <v>12</v>
      </c>
      <c r="C36" s="7" t="s">
        <v>12</v>
      </c>
      <c r="D36" s="11">
        <v>42899</v>
      </c>
      <c r="E36" s="7"/>
      <c r="F36" s="7">
        <v>264139</v>
      </c>
      <c r="G36" s="13"/>
    </row>
    <row r="37" spans="1:7" x14ac:dyDescent="0.15">
      <c r="A37" s="10">
        <v>51</v>
      </c>
      <c r="B37" s="7" t="s">
        <v>12</v>
      </c>
      <c r="C37" s="7" t="s">
        <v>12</v>
      </c>
      <c r="D37" s="11">
        <v>42904</v>
      </c>
      <c r="E37" s="7"/>
      <c r="F37" s="7">
        <v>112581</v>
      </c>
      <c r="G37" s="13"/>
    </row>
    <row r="38" spans="1:7" x14ac:dyDescent="0.15">
      <c r="A38" s="10">
        <v>52</v>
      </c>
      <c r="B38" s="7" t="s">
        <v>12</v>
      </c>
      <c r="C38" s="7" t="s">
        <v>12</v>
      </c>
      <c r="D38" s="11">
        <v>42909</v>
      </c>
      <c r="E38" s="7"/>
      <c r="F38" s="7">
        <v>93525</v>
      </c>
      <c r="G38" s="13"/>
    </row>
    <row r="39" spans="1:7" x14ac:dyDescent="0.15">
      <c r="A39" s="10">
        <v>53</v>
      </c>
      <c r="B39" s="7" t="s">
        <v>12</v>
      </c>
      <c r="C39" s="7" t="s">
        <v>12</v>
      </c>
      <c r="D39" s="11">
        <v>42914</v>
      </c>
      <c r="E39" s="7"/>
      <c r="F39" s="7">
        <v>84474</v>
      </c>
      <c r="G39" s="13"/>
    </row>
    <row r="40" spans="1:7" x14ac:dyDescent="0.15">
      <c r="A40" s="10">
        <v>54</v>
      </c>
      <c r="B40" s="7" t="s">
        <v>12</v>
      </c>
      <c r="C40" s="7" t="s">
        <v>12</v>
      </c>
      <c r="D40" s="11">
        <v>42919</v>
      </c>
      <c r="E40" s="7"/>
      <c r="F40" s="7">
        <v>4118</v>
      </c>
      <c r="G40" s="13"/>
    </row>
    <row r="41" spans="1:7" x14ac:dyDescent="0.15">
      <c r="A41" s="10">
        <v>55</v>
      </c>
      <c r="B41" s="7" t="s">
        <v>13</v>
      </c>
      <c r="C41" s="7" t="s">
        <v>13</v>
      </c>
      <c r="D41" s="11">
        <v>42982</v>
      </c>
      <c r="E41" s="7"/>
      <c r="F41" s="7">
        <v>1400</v>
      </c>
      <c r="G41" s="13"/>
    </row>
    <row r="42" spans="1:7" x14ac:dyDescent="0.15">
      <c r="A42" s="10">
        <v>56</v>
      </c>
      <c r="B42" s="7" t="s">
        <v>13</v>
      </c>
      <c r="C42" s="7" t="s">
        <v>13</v>
      </c>
      <c r="D42" s="11">
        <v>42987</v>
      </c>
      <c r="E42" s="7"/>
      <c r="F42" s="7">
        <v>14250</v>
      </c>
      <c r="G42" s="13"/>
    </row>
    <row r="43" spans="1:7" x14ac:dyDescent="0.15">
      <c r="A43" s="10">
        <v>57</v>
      </c>
      <c r="B43" s="7" t="s">
        <v>13</v>
      </c>
      <c r="C43" s="7" t="s">
        <v>13</v>
      </c>
      <c r="D43" s="11">
        <v>42992</v>
      </c>
      <c r="E43" s="7"/>
      <c r="F43" s="7">
        <v>270812</v>
      </c>
      <c r="G43" s="13"/>
    </row>
    <row r="44" spans="1:7" x14ac:dyDescent="0.15">
      <c r="A44" s="10">
        <v>58</v>
      </c>
      <c r="B44" s="7" t="s">
        <v>13</v>
      </c>
      <c r="C44" s="7" t="s">
        <v>13</v>
      </c>
      <c r="D44" s="11">
        <v>42997</v>
      </c>
      <c r="E44" s="7"/>
      <c r="F44" s="7">
        <v>107212</v>
      </c>
      <c r="G44" s="13"/>
    </row>
    <row r="45" spans="1:7" x14ac:dyDescent="0.15">
      <c r="A45" s="10">
        <v>59</v>
      </c>
      <c r="B45" s="7" t="s">
        <v>13</v>
      </c>
      <c r="C45" s="7" t="s">
        <v>13</v>
      </c>
      <c r="D45" s="11">
        <v>43002</v>
      </c>
      <c r="E45" s="7"/>
      <c r="F45" s="7">
        <v>92077</v>
      </c>
      <c r="G45" s="13"/>
    </row>
    <row r="46" spans="1:7" x14ac:dyDescent="0.15">
      <c r="A46" s="10">
        <v>60</v>
      </c>
      <c r="B46" s="7" t="s">
        <v>13</v>
      </c>
      <c r="C46" s="7" t="s">
        <v>13</v>
      </c>
      <c r="D46" s="11">
        <v>43007</v>
      </c>
      <c r="E46" s="7"/>
      <c r="F46" s="7">
        <v>81553</v>
      </c>
      <c r="G46" s="13"/>
    </row>
    <row r="47" spans="1:7" x14ac:dyDescent="0.15">
      <c r="A47" s="10">
        <v>61</v>
      </c>
      <c r="B47" s="7" t="s">
        <v>13</v>
      </c>
      <c r="C47" s="7" t="s">
        <v>13</v>
      </c>
      <c r="D47" s="11">
        <v>43012</v>
      </c>
      <c r="E47" s="7"/>
      <c r="F47" s="7"/>
      <c r="G47" s="13">
        <v>3474</v>
      </c>
    </row>
    <row r="48" spans="1:7" x14ac:dyDescent="0.15">
      <c r="A48" s="10">
        <v>63</v>
      </c>
      <c r="B48" s="7" t="s">
        <v>13</v>
      </c>
      <c r="C48" s="7" t="s">
        <v>13</v>
      </c>
      <c r="D48" s="11">
        <v>43022</v>
      </c>
      <c r="E48" s="7"/>
      <c r="F48" s="7"/>
      <c r="G48" s="13">
        <v>14250</v>
      </c>
    </row>
    <row r="49" spans="1:7" x14ac:dyDescent="0.15">
      <c r="A49" s="10">
        <v>64</v>
      </c>
      <c r="B49" s="7" t="s">
        <v>13</v>
      </c>
      <c r="C49" s="7" t="s">
        <v>13</v>
      </c>
      <c r="D49" s="11">
        <v>43027</v>
      </c>
      <c r="E49" s="7"/>
      <c r="F49" s="7"/>
      <c r="G49" s="13">
        <v>261918</v>
      </c>
    </row>
    <row r="50" spans="1:7" x14ac:dyDescent="0.15">
      <c r="A50" s="10">
        <v>65</v>
      </c>
      <c r="B50" s="7" t="s">
        <v>13</v>
      </c>
      <c r="C50" s="7" t="s">
        <v>13</v>
      </c>
      <c r="D50" s="11">
        <v>43032</v>
      </c>
      <c r="E50" s="7"/>
      <c r="F50" s="7"/>
      <c r="G50" s="13">
        <v>520047</v>
      </c>
    </row>
    <row r="51" spans="1:7" x14ac:dyDescent="0.15">
      <c r="A51" s="10">
        <v>67</v>
      </c>
      <c r="B51" s="7" t="s">
        <v>13</v>
      </c>
      <c r="C51" s="7" t="s">
        <v>13</v>
      </c>
      <c r="D51" s="11">
        <v>43042</v>
      </c>
      <c r="E51" s="7"/>
      <c r="F51" s="7"/>
      <c r="G51" s="13">
        <v>103758</v>
      </c>
    </row>
    <row r="52" spans="1:7" x14ac:dyDescent="0.15">
      <c r="A52" s="10">
        <v>69</v>
      </c>
      <c r="B52" s="7" t="s">
        <v>13</v>
      </c>
      <c r="C52" s="7" t="s">
        <v>13</v>
      </c>
      <c r="D52" s="11">
        <v>43052</v>
      </c>
      <c r="E52" s="7"/>
      <c r="F52" s="7"/>
      <c r="G52" s="13">
        <v>79606</v>
      </c>
    </row>
    <row r="53" spans="1:7" x14ac:dyDescent="0.15">
      <c r="A53" s="10">
        <v>70</v>
      </c>
      <c r="B53" s="7" t="s">
        <v>13</v>
      </c>
      <c r="C53" s="7" t="s">
        <v>13</v>
      </c>
      <c r="D53" s="11">
        <v>43057</v>
      </c>
      <c r="E53" s="7"/>
      <c r="F53" s="7"/>
      <c r="G53" s="13">
        <v>3306</v>
      </c>
    </row>
    <row r="54" spans="1:7" x14ac:dyDescent="0.15">
      <c r="A54" s="10">
        <v>72</v>
      </c>
      <c r="B54" s="7" t="s">
        <v>13</v>
      </c>
      <c r="C54" s="7" t="s">
        <v>13</v>
      </c>
      <c r="D54" s="11">
        <v>43067</v>
      </c>
      <c r="E54" s="7"/>
      <c r="F54" s="7"/>
      <c r="G54" s="13">
        <v>13500</v>
      </c>
    </row>
    <row r="55" spans="1:7" x14ac:dyDescent="0.15">
      <c r="A55" s="10">
        <v>73</v>
      </c>
      <c r="B55" s="7" t="s">
        <v>13</v>
      </c>
      <c r="C55" s="7" t="s">
        <v>13</v>
      </c>
      <c r="D55" s="11">
        <v>43072</v>
      </c>
      <c r="E55" s="7"/>
      <c r="F55" s="7"/>
      <c r="G55" s="13">
        <v>256348</v>
      </c>
    </row>
    <row r="56" spans="1:7" x14ac:dyDescent="0.15">
      <c r="A56" s="10">
        <v>74</v>
      </c>
      <c r="B56" s="7" t="s">
        <v>14</v>
      </c>
      <c r="C56" s="7" t="s">
        <v>14</v>
      </c>
      <c r="D56" s="11">
        <v>43077</v>
      </c>
      <c r="E56" s="7"/>
      <c r="F56" s="7"/>
      <c r="G56" s="13">
        <v>104111</v>
      </c>
    </row>
    <row r="57" spans="1:7" x14ac:dyDescent="0.15">
      <c r="A57" s="10">
        <v>75</v>
      </c>
      <c r="B57" s="7" t="s">
        <v>14</v>
      </c>
      <c r="C57" s="7" t="s">
        <v>14</v>
      </c>
      <c r="D57" s="11">
        <v>43082</v>
      </c>
      <c r="E57" s="7"/>
      <c r="F57" s="7"/>
      <c r="G57" s="13">
        <v>91255</v>
      </c>
    </row>
    <row r="58" spans="1:7" x14ac:dyDescent="0.15">
      <c r="A58" s="10">
        <v>76</v>
      </c>
      <c r="B58" s="7" t="s">
        <v>14</v>
      </c>
      <c r="C58" s="7" t="s">
        <v>14</v>
      </c>
      <c r="D58" s="11">
        <v>43087</v>
      </c>
      <c r="E58" s="7"/>
      <c r="F58" s="7"/>
      <c r="G58" s="13">
        <v>79871</v>
      </c>
    </row>
    <row r="59" spans="1:7" x14ac:dyDescent="0.15">
      <c r="A59" s="10">
        <v>77</v>
      </c>
      <c r="B59" s="7" t="s">
        <v>14</v>
      </c>
      <c r="C59" s="7" t="s">
        <v>14</v>
      </c>
      <c r="D59" s="11">
        <v>43092</v>
      </c>
      <c r="E59" s="7"/>
      <c r="F59" s="7"/>
      <c r="G59" s="13">
        <v>3348</v>
      </c>
    </row>
    <row r="60" spans="1:7" x14ac:dyDescent="0.15">
      <c r="A60" s="10">
        <v>79</v>
      </c>
      <c r="B60" s="7" t="s">
        <v>14</v>
      </c>
      <c r="C60" s="7" t="s">
        <v>14</v>
      </c>
      <c r="D60" s="11">
        <v>43102</v>
      </c>
      <c r="E60" s="7"/>
      <c r="F60" s="7"/>
      <c r="G60" s="13">
        <v>14250</v>
      </c>
    </row>
    <row r="61" spans="1:7" x14ac:dyDescent="0.15">
      <c r="A61" s="10">
        <v>81</v>
      </c>
      <c r="B61" s="7" t="s">
        <v>14</v>
      </c>
      <c r="C61" s="7" t="s">
        <v>14</v>
      </c>
      <c r="D61" s="11">
        <v>43112</v>
      </c>
      <c r="E61" s="7"/>
      <c r="F61" s="7"/>
      <c r="G61" s="13">
        <v>100890</v>
      </c>
    </row>
    <row r="62" spans="1:7" x14ac:dyDescent="0.15">
      <c r="A62" s="10">
        <v>82</v>
      </c>
      <c r="B62" s="7" t="s">
        <v>14</v>
      </c>
      <c r="C62" s="7" t="s">
        <v>14</v>
      </c>
      <c r="D62" s="11">
        <v>43117</v>
      </c>
      <c r="E62" s="7"/>
      <c r="F62" s="7"/>
      <c r="G62" s="13">
        <v>88840</v>
      </c>
    </row>
    <row r="63" spans="1:7" x14ac:dyDescent="0.15">
      <c r="A63" s="10">
        <v>83</v>
      </c>
      <c r="B63" s="7" t="s">
        <v>14</v>
      </c>
      <c r="C63" s="7" t="s">
        <v>14</v>
      </c>
      <c r="D63" s="11">
        <v>43122</v>
      </c>
      <c r="E63" s="7"/>
      <c r="F63" s="7"/>
      <c r="G63" s="13">
        <v>77456</v>
      </c>
    </row>
    <row r="64" spans="1:7" x14ac:dyDescent="0.15">
      <c r="A64" s="10">
        <v>84</v>
      </c>
      <c r="B64" s="7" t="s">
        <v>14</v>
      </c>
      <c r="C64" s="7" t="s">
        <v>14</v>
      </c>
      <c r="D64" s="11">
        <v>43127</v>
      </c>
      <c r="E64" s="7"/>
      <c r="F64" s="7"/>
      <c r="G64" s="13">
        <v>3283</v>
      </c>
    </row>
    <row r="65" spans="1:7" x14ac:dyDescent="0.15">
      <c r="A65" s="10">
        <v>86</v>
      </c>
      <c r="B65" s="7" t="s">
        <v>14</v>
      </c>
      <c r="C65" s="7" t="s">
        <v>14</v>
      </c>
      <c r="D65" s="11">
        <v>43137</v>
      </c>
      <c r="E65" s="7"/>
      <c r="F65" s="7"/>
      <c r="G65" s="13">
        <v>14250</v>
      </c>
    </row>
    <row r="66" spans="1:7" x14ac:dyDescent="0.15">
      <c r="A66" s="10">
        <v>87</v>
      </c>
      <c r="B66" s="7" t="s">
        <v>14</v>
      </c>
      <c r="C66" s="7" t="s">
        <v>14</v>
      </c>
      <c r="D66" s="11">
        <v>43142</v>
      </c>
      <c r="E66" s="7"/>
      <c r="F66" s="7"/>
      <c r="G66" s="13">
        <v>24</v>
      </c>
    </row>
    <row r="67" spans="1:7" x14ac:dyDescent="0.15">
      <c r="A67" s="10">
        <v>89</v>
      </c>
      <c r="B67" s="7" t="s">
        <v>14</v>
      </c>
      <c r="C67" s="7" t="s">
        <v>14</v>
      </c>
      <c r="D67" s="11">
        <v>43152</v>
      </c>
      <c r="E67" s="7"/>
      <c r="F67" s="7"/>
      <c r="G67" s="13">
        <v>102614</v>
      </c>
    </row>
    <row r="68" spans="1:7" x14ac:dyDescent="0.15">
      <c r="A68" s="10">
        <v>90</v>
      </c>
      <c r="B68" s="7" t="s">
        <v>14</v>
      </c>
      <c r="C68" s="7" t="s">
        <v>14</v>
      </c>
      <c r="D68" s="11">
        <v>43157</v>
      </c>
      <c r="E68" s="7"/>
      <c r="F68" s="7"/>
      <c r="G68" s="13">
        <v>90132</v>
      </c>
    </row>
    <row r="69" spans="1:7" x14ac:dyDescent="0.15">
      <c r="A69" s="10">
        <v>91</v>
      </c>
      <c r="B69" s="7" t="s">
        <v>14</v>
      </c>
      <c r="C69" s="7" t="s">
        <v>14</v>
      </c>
      <c r="D69" s="11">
        <v>43162</v>
      </c>
      <c r="E69" s="7"/>
      <c r="F69" s="7"/>
      <c r="G69" s="13">
        <v>78748</v>
      </c>
    </row>
    <row r="70" spans="1:7" x14ac:dyDescent="0.15">
      <c r="A70" s="10">
        <v>94</v>
      </c>
      <c r="B70" s="7" t="s">
        <v>15</v>
      </c>
      <c r="C70" s="7" t="s">
        <v>15</v>
      </c>
      <c r="D70" s="11">
        <v>43177</v>
      </c>
      <c r="E70" s="7"/>
      <c r="F70" s="7"/>
      <c r="G70" s="13">
        <v>14250</v>
      </c>
    </row>
    <row r="71" spans="1:7" x14ac:dyDescent="0.15">
      <c r="A71" s="10">
        <v>95</v>
      </c>
      <c r="B71" s="7" t="s">
        <v>15</v>
      </c>
      <c r="C71" s="7" t="s">
        <v>15</v>
      </c>
      <c r="D71" s="11">
        <v>43182</v>
      </c>
      <c r="E71" s="7"/>
      <c r="F71" s="7"/>
      <c r="G71" s="13">
        <v>252876</v>
      </c>
    </row>
    <row r="72" spans="1:7" x14ac:dyDescent="0.15">
      <c r="A72" s="10">
        <v>97</v>
      </c>
      <c r="B72" s="7" t="s">
        <v>15</v>
      </c>
      <c r="C72" s="7" t="s">
        <v>15</v>
      </c>
      <c r="D72" s="11">
        <v>42829</v>
      </c>
      <c r="E72" s="7"/>
      <c r="F72" s="7">
        <v>90242</v>
      </c>
      <c r="G72" s="13"/>
    </row>
    <row r="73" spans="1:7" x14ac:dyDescent="0.15">
      <c r="A73" s="10">
        <v>99</v>
      </c>
      <c r="B73" s="7" t="s">
        <v>15</v>
      </c>
      <c r="C73" s="7" t="s">
        <v>15</v>
      </c>
      <c r="D73" s="11">
        <v>42839</v>
      </c>
      <c r="E73" s="7"/>
      <c r="F73" s="7">
        <v>3149</v>
      </c>
      <c r="G73" s="13"/>
    </row>
    <row r="74" spans="1:7" x14ac:dyDescent="0.15">
      <c r="A74" s="10">
        <v>101</v>
      </c>
      <c r="B74" s="7" t="s">
        <v>15</v>
      </c>
      <c r="C74" s="7" t="s">
        <v>15</v>
      </c>
      <c r="D74" s="11">
        <v>42849</v>
      </c>
      <c r="E74" s="7"/>
      <c r="F74" s="7">
        <v>14250</v>
      </c>
      <c r="G74" s="13"/>
    </row>
    <row r="75" spans="1:7" x14ac:dyDescent="0.15">
      <c r="A75" s="10">
        <v>102</v>
      </c>
      <c r="B75" s="7" t="s">
        <v>15</v>
      </c>
      <c r="C75" s="7" t="s">
        <v>15</v>
      </c>
      <c r="D75" s="11">
        <v>42854</v>
      </c>
      <c r="E75" s="7"/>
      <c r="F75" s="7">
        <v>255760</v>
      </c>
      <c r="G75" s="13"/>
    </row>
    <row r="76" spans="1:7" x14ac:dyDescent="0.15">
      <c r="A76" s="10">
        <v>106</v>
      </c>
      <c r="B76" s="7" t="s">
        <v>15</v>
      </c>
      <c r="C76" s="7" t="s">
        <v>15</v>
      </c>
      <c r="D76" s="11">
        <v>42874</v>
      </c>
      <c r="E76" s="7"/>
      <c r="F76" s="7">
        <v>3113</v>
      </c>
      <c r="G76" s="13"/>
    </row>
    <row r="77" spans="1:7" x14ac:dyDescent="0.15">
      <c r="A77" s="10">
        <v>108</v>
      </c>
      <c r="B77" s="7" t="s">
        <v>15</v>
      </c>
      <c r="C77" s="7" t="s">
        <v>15</v>
      </c>
      <c r="D77" s="11">
        <v>42884</v>
      </c>
      <c r="E77" s="7"/>
      <c r="F77" s="7">
        <v>14250</v>
      </c>
      <c r="G77" s="13"/>
    </row>
    <row r="78" spans="1:7" x14ac:dyDescent="0.15">
      <c r="A78" s="10">
        <v>109</v>
      </c>
      <c r="B78" s="7" t="s">
        <v>15</v>
      </c>
      <c r="C78" s="7" t="s">
        <v>15</v>
      </c>
      <c r="D78" s="11">
        <v>42889</v>
      </c>
      <c r="E78" s="7"/>
      <c r="F78" s="7">
        <v>240699</v>
      </c>
      <c r="G78" s="13"/>
    </row>
    <row r="79" spans="1:7" x14ac:dyDescent="0.15">
      <c r="A79" s="10">
        <v>110</v>
      </c>
      <c r="B79" s="7" t="s">
        <v>15</v>
      </c>
      <c r="C79" s="7" t="s">
        <v>15</v>
      </c>
      <c r="D79" s="11">
        <v>42894</v>
      </c>
      <c r="E79" s="7"/>
      <c r="F79" s="7">
        <v>109458</v>
      </c>
      <c r="G79" s="13"/>
    </row>
    <row r="80" spans="1:7" x14ac:dyDescent="0.15">
      <c r="A80" s="10">
        <v>111</v>
      </c>
      <c r="B80" s="7" t="s">
        <v>15</v>
      </c>
      <c r="C80" s="7" t="s">
        <v>15</v>
      </c>
      <c r="D80" s="11">
        <v>42899</v>
      </c>
      <c r="E80" s="7"/>
      <c r="F80" s="7">
        <v>91823</v>
      </c>
      <c r="G80" s="13"/>
    </row>
    <row r="81" spans="1:7" x14ac:dyDescent="0.15">
      <c r="A81" s="10">
        <v>112</v>
      </c>
      <c r="B81" s="7" t="s">
        <v>15</v>
      </c>
      <c r="C81" s="7" t="s">
        <v>15</v>
      </c>
      <c r="D81" s="11">
        <v>42829</v>
      </c>
      <c r="E81" s="7"/>
      <c r="F81" s="7">
        <v>82407</v>
      </c>
      <c r="G81" s="13"/>
    </row>
    <row r="82" spans="1:7" x14ac:dyDescent="0.15">
      <c r="A82" s="10">
        <v>114</v>
      </c>
      <c r="B82" s="7" t="s">
        <v>15</v>
      </c>
      <c r="C82" s="7" t="s">
        <v>15</v>
      </c>
      <c r="D82" s="11">
        <v>42839</v>
      </c>
      <c r="E82" s="7"/>
      <c r="F82" s="7">
        <v>1400</v>
      </c>
      <c r="G82" s="13"/>
    </row>
    <row r="83" spans="1:7" x14ac:dyDescent="0.15">
      <c r="A83" s="10">
        <v>115</v>
      </c>
      <c r="B83" s="7" t="s">
        <v>15</v>
      </c>
      <c r="C83" s="7" t="s">
        <v>15</v>
      </c>
      <c r="D83" s="11">
        <v>42844</v>
      </c>
      <c r="E83" s="7"/>
      <c r="F83" s="7">
        <v>14250</v>
      </c>
      <c r="G83" s="13"/>
    </row>
    <row r="84" spans="1:7" x14ac:dyDescent="0.15">
      <c r="A84" s="10">
        <v>116</v>
      </c>
      <c r="B84" s="7" t="s">
        <v>15</v>
      </c>
      <c r="C84" s="7" t="s">
        <v>15</v>
      </c>
      <c r="D84" s="11">
        <v>42849</v>
      </c>
      <c r="E84" s="7"/>
      <c r="F84" s="7">
        <v>264139</v>
      </c>
      <c r="G84" s="13"/>
    </row>
    <row r="85" spans="1:7" x14ac:dyDescent="0.15">
      <c r="A85" s="10">
        <v>117</v>
      </c>
      <c r="B85" s="7" t="s">
        <v>15</v>
      </c>
      <c r="C85" s="7" t="s">
        <v>15</v>
      </c>
      <c r="D85" s="11">
        <v>42854</v>
      </c>
      <c r="E85" s="7"/>
      <c r="F85" s="7">
        <v>112581</v>
      </c>
      <c r="G85" s="13"/>
    </row>
    <row r="86" spans="1:7" x14ac:dyDescent="0.15">
      <c r="A86" s="10">
        <v>118</v>
      </c>
      <c r="B86" s="7" t="s">
        <v>15</v>
      </c>
      <c r="C86" s="7" t="s">
        <v>15</v>
      </c>
      <c r="D86" s="11">
        <v>42859</v>
      </c>
      <c r="E86" s="7"/>
      <c r="F86" s="7">
        <v>93525</v>
      </c>
      <c r="G86" s="13"/>
    </row>
    <row r="87" spans="1:7" x14ac:dyDescent="0.15">
      <c r="A87" s="10">
        <v>119</v>
      </c>
      <c r="B87" s="7" t="s">
        <v>15</v>
      </c>
      <c r="C87" s="7" t="s">
        <v>15</v>
      </c>
      <c r="D87" s="11">
        <v>42864</v>
      </c>
      <c r="E87" s="7"/>
      <c r="F87" s="7">
        <v>84474</v>
      </c>
      <c r="G87" s="13"/>
    </row>
    <row r="88" spans="1:7" x14ac:dyDescent="0.15">
      <c r="A88" s="10">
        <v>120</v>
      </c>
      <c r="B88" s="7" t="s">
        <v>15</v>
      </c>
      <c r="C88" s="7" t="s">
        <v>15</v>
      </c>
      <c r="D88" s="11">
        <v>42869</v>
      </c>
      <c r="E88" s="7"/>
      <c r="F88" s="7">
        <v>4118</v>
      </c>
      <c r="G88" s="13"/>
    </row>
    <row r="89" spans="1:7" x14ac:dyDescent="0.15">
      <c r="A89" s="10">
        <v>121</v>
      </c>
      <c r="B89" s="7" t="s">
        <v>16</v>
      </c>
      <c r="C89" s="7" t="s">
        <v>16</v>
      </c>
      <c r="D89" s="11">
        <v>42874</v>
      </c>
      <c r="E89" s="7"/>
      <c r="F89" s="7">
        <v>1400</v>
      </c>
      <c r="G89" s="13"/>
    </row>
    <row r="90" spans="1:7" x14ac:dyDescent="0.15">
      <c r="A90" s="10">
        <v>122</v>
      </c>
      <c r="B90" s="7" t="s">
        <v>16</v>
      </c>
      <c r="C90" s="7" t="s">
        <v>16</v>
      </c>
      <c r="D90" s="11">
        <v>42879</v>
      </c>
      <c r="E90" s="7"/>
      <c r="F90" s="7">
        <v>14250</v>
      </c>
      <c r="G90" s="13"/>
    </row>
    <row r="91" spans="1:7" x14ac:dyDescent="0.15">
      <c r="A91" s="10">
        <v>123</v>
      </c>
      <c r="B91" s="7" t="s">
        <v>16</v>
      </c>
      <c r="C91" s="7" t="s">
        <v>16</v>
      </c>
      <c r="D91" s="11">
        <v>42884</v>
      </c>
      <c r="E91" s="7"/>
      <c r="F91" s="7">
        <v>270812</v>
      </c>
      <c r="G91" s="13"/>
    </row>
    <row r="92" spans="1:7" x14ac:dyDescent="0.15">
      <c r="A92" s="10">
        <v>124</v>
      </c>
      <c r="B92" s="7" t="s">
        <v>16</v>
      </c>
      <c r="C92" s="7" t="s">
        <v>16</v>
      </c>
      <c r="D92" s="11">
        <v>42889</v>
      </c>
      <c r="E92" s="7"/>
      <c r="F92" s="7">
        <v>107212</v>
      </c>
      <c r="G92" s="13"/>
    </row>
    <row r="93" spans="1:7" x14ac:dyDescent="0.15">
      <c r="A93" s="10">
        <v>125</v>
      </c>
      <c r="B93" s="7" t="s">
        <v>16</v>
      </c>
      <c r="C93" s="7" t="s">
        <v>16</v>
      </c>
      <c r="D93" s="11">
        <v>42894</v>
      </c>
      <c r="E93" s="7"/>
      <c r="F93" s="7">
        <v>92077</v>
      </c>
      <c r="G93" s="13"/>
    </row>
    <row r="94" spans="1:7" x14ac:dyDescent="0.15">
      <c r="A94" s="10">
        <v>126</v>
      </c>
      <c r="B94" s="7" t="s">
        <v>16</v>
      </c>
      <c r="C94" s="7" t="s">
        <v>16</v>
      </c>
      <c r="D94" s="11">
        <v>42899</v>
      </c>
      <c r="E94" s="7"/>
      <c r="F94" s="7">
        <v>81553</v>
      </c>
      <c r="G94" s="13"/>
    </row>
    <row r="95" spans="1:7" x14ac:dyDescent="0.15">
      <c r="A95" s="10">
        <v>127</v>
      </c>
      <c r="B95" s="7" t="s">
        <v>16</v>
      </c>
      <c r="C95" s="7" t="s">
        <v>16</v>
      </c>
      <c r="D95" s="11">
        <v>42904</v>
      </c>
      <c r="E95" s="7"/>
      <c r="F95" s="7">
        <v>3474</v>
      </c>
      <c r="G95" s="13"/>
    </row>
    <row r="96" spans="1:7" x14ac:dyDescent="0.15">
      <c r="A96" s="10">
        <v>129</v>
      </c>
      <c r="B96" s="7" t="s">
        <v>16</v>
      </c>
      <c r="C96" s="7" t="s">
        <v>16</v>
      </c>
      <c r="D96" s="11">
        <v>42914</v>
      </c>
      <c r="E96" s="7"/>
      <c r="F96" s="7">
        <v>14250</v>
      </c>
      <c r="G96" s="13"/>
    </row>
    <row r="97" spans="1:7" x14ac:dyDescent="0.15">
      <c r="A97" s="10">
        <v>130</v>
      </c>
      <c r="B97" s="7" t="s">
        <v>16</v>
      </c>
      <c r="C97" s="7" t="s">
        <v>16</v>
      </c>
      <c r="D97" s="11">
        <v>42919</v>
      </c>
      <c r="E97" s="7"/>
      <c r="F97" s="7">
        <v>261918</v>
      </c>
      <c r="G97" s="13"/>
    </row>
    <row r="98" spans="1:7" x14ac:dyDescent="0.15">
      <c r="A98" s="10">
        <v>131</v>
      </c>
      <c r="B98" s="7" t="s">
        <v>16</v>
      </c>
      <c r="C98" s="7" t="s">
        <v>16</v>
      </c>
      <c r="D98" s="11">
        <v>42924</v>
      </c>
      <c r="E98" s="7"/>
      <c r="F98" s="7">
        <v>520047</v>
      </c>
      <c r="G98" s="13"/>
    </row>
    <row r="99" spans="1:7" x14ac:dyDescent="0.15">
      <c r="A99" s="10">
        <v>133</v>
      </c>
      <c r="B99" s="7" t="s">
        <v>16</v>
      </c>
      <c r="C99" s="7" t="s">
        <v>16</v>
      </c>
      <c r="D99" s="11">
        <v>42934</v>
      </c>
      <c r="E99" s="7"/>
      <c r="F99" s="7">
        <v>261918</v>
      </c>
      <c r="G99" s="13"/>
    </row>
    <row r="100" spans="1:7" x14ac:dyDescent="0.15">
      <c r="A100" s="10">
        <v>134</v>
      </c>
      <c r="B100" s="7" t="s">
        <v>16</v>
      </c>
      <c r="C100" s="7" t="s">
        <v>16</v>
      </c>
      <c r="D100" s="11">
        <v>42939</v>
      </c>
      <c r="E100" s="7"/>
      <c r="F100" s="7">
        <v>520047</v>
      </c>
      <c r="G100" s="13"/>
    </row>
    <row r="101" spans="1:7" ht="11.25" thickBot="1" x14ac:dyDescent="0.2">
      <c r="A101" s="14">
        <v>136</v>
      </c>
      <c r="B101" s="15" t="s">
        <v>16</v>
      </c>
      <c r="C101" s="15" t="s">
        <v>16</v>
      </c>
      <c r="D101" s="16">
        <v>42949</v>
      </c>
      <c r="E101" s="15"/>
      <c r="F101" s="15">
        <v>103758</v>
      </c>
      <c r="G101" s="18"/>
    </row>
    <row r="102" spans="1:7" ht="11.25" thickBot="1" x14ac:dyDescent="0.2">
      <c r="F102" s="20">
        <f>SUM(F3:F101)</f>
        <v>7352012</v>
      </c>
      <c r="G102" s="20">
        <f>SUM(G3:G101)</f>
        <v>2372405</v>
      </c>
    </row>
    <row r="103" spans="1:7" ht="32.25" thickBot="1" x14ac:dyDescent="0.2">
      <c r="A103" s="45" t="s">
        <v>0</v>
      </c>
      <c r="B103" s="44" t="s">
        <v>1</v>
      </c>
      <c r="C103" s="44" t="s">
        <v>2</v>
      </c>
      <c r="D103" s="46" t="s">
        <v>3</v>
      </c>
      <c r="E103" s="44" t="s">
        <v>30</v>
      </c>
      <c r="F103" s="44" t="s">
        <v>183</v>
      </c>
      <c r="G103" s="44" t="s">
        <v>184</v>
      </c>
    </row>
    <row r="104" spans="1:7" x14ac:dyDescent="0.15">
      <c r="A104" s="25">
        <v>1</v>
      </c>
      <c r="B104" s="185"/>
      <c r="C104" s="185" t="s">
        <v>10</v>
      </c>
      <c r="D104" s="186">
        <v>43377</v>
      </c>
      <c r="E104" s="185"/>
      <c r="F104" s="185"/>
      <c r="G104" s="187">
        <f>'FA CA'!F141</f>
        <v>445500</v>
      </c>
    </row>
    <row r="105" spans="1:7" x14ac:dyDescent="0.15">
      <c r="A105" s="10">
        <v>3</v>
      </c>
      <c r="B105" s="7"/>
      <c r="C105" s="7" t="s">
        <v>11</v>
      </c>
      <c r="D105" s="11">
        <v>43412</v>
      </c>
      <c r="E105" s="7"/>
      <c r="F105" s="23"/>
      <c r="G105" s="13">
        <f>'FA CA'!F142</f>
        <v>3475349</v>
      </c>
    </row>
    <row r="106" spans="1:7" x14ac:dyDescent="0.15">
      <c r="A106" s="10">
        <v>4</v>
      </c>
      <c r="B106" s="7"/>
      <c r="C106" s="7" t="s">
        <v>12</v>
      </c>
      <c r="D106" s="11">
        <v>43447</v>
      </c>
      <c r="E106" s="7"/>
      <c r="F106" s="23"/>
      <c r="G106" s="13">
        <f>'FA CA'!F143</f>
        <v>47643</v>
      </c>
    </row>
    <row r="107" spans="1:7" x14ac:dyDescent="0.15">
      <c r="A107" s="10">
        <v>6</v>
      </c>
      <c r="B107" s="7"/>
      <c r="C107" s="7" t="s">
        <v>13</v>
      </c>
      <c r="D107" s="11">
        <v>43482</v>
      </c>
      <c r="E107" s="7"/>
      <c r="F107" s="23"/>
      <c r="G107" s="13">
        <f>'FA CA'!F144</f>
        <v>234758</v>
      </c>
    </row>
    <row r="108" spans="1:7" x14ac:dyDescent="0.15">
      <c r="A108" s="10">
        <v>7</v>
      </c>
      <c r="B108" s="7"/>
      <c r="C108" s="7" t="s">
        <v>14</v>
      </c>
      <c r="D108" s="11">
        <v>43517</v>
      </c>
      <c r="E108" s="7"/>
      <c r="F108" s="23"/>
      <c r="G108" s="13">
        <f>'FA CA'!F145</f>
        <v>8674385</v>
      </c>
    </row>
    <row r="109" spans="1:7" x14ac:dyDescent="0.15">
      <c r="A109" s="10">
        <v>8</v>
      </c>
      <c r="B109" s="7"/>
      <c r="C109" s="7" t="s">
        <v>15</v>
      </c>
      <c r="D109" s="11">
        <v>43552</v>
      </c>
      <c r="E109" s="7"/>
      <c r="F109" s="23"/>
      <c r="G109" s="13">
        <f>'FA CA'!F146</f>
        <v>45673</v>
      </c>
    </row>
    <row r="110" spans="1:7" ht="11.25" thickBot="1" x14ac:dyDescent="0.2">
      <c r="A110" s="14">
        <v>9</v>
      </c>
      <c r="B110" s="15"/>
      <c r="C110" s="15" t="s">
        <v>16</v>
      </c>
      <c r="D110" s="16">
        <v>43555</v>
      </c>
      <c r="E110" s="15"/>
      <c r="F110" s="117"/>
      <c r="G110" s="18">
        <f>'FA CA'!F147</f>
        <v>5435968</v>
      </c>
    </row>
    <row r="112" spans="1:7" ht="11.25" thickBot="1" x14ac:dyDescent="0.2"/>
    <row r="113" spans="1:7" ht="32.25" thickBot="1" x14ac:dyDescent="0.2">
      <c r="A113" s="45" t="s">
        <v>0</v>
      </c>
      <c r="B113" s="44" t="s">
        <v>1</v>
      </c>
      <c r="C113" s="44" t="s">
        <v>2</v>
      </c>
      <c r="D113" s="46" t="s">
        <v>3</v>
      </c>
      <c r="E113" s="44" t="s">
        <v>30</v>
      </c>
      <c r="F113" s="44" t="s">
        <v>185</v>
      </c>
      <c r="G113" s="44" t="s">
        <v>186</v>
      </c>
    </row>
    <row r="114" spans="1:7" x14ac:dyDescent="0.15">
      <c r="A114" s="25">
        <v>1</v>
      </c>
      <c r="B114" s="185"/>
      <c r="C114" s="185" t="s">
        <v>10</v>
      </c>
      <c r="D114" s="186">
        <f>'FA CA'!D151</f>
        <v>43589</v>
      </c>
      <c r="E114" s="185"/>
      <c r="F114" s="185">
        <f>'FA CA'!F151</f>
        <v>34534</v>
      </c>
      <c r="G114" s="187"/>
    </row>
    <row r="115" spans="1:7" x14ac:dyDescent="0.15">
      <c r="A115" s="10">
        <v>3</v>
      </c>
      <c r="B115" s="7"/>
      <c r="C115" s="7" t="s">
        <v>11</v>
      </c>
      <c r="D115" s="11">
        <f>'FA CA'!D152</f>
        <v>43624</v>
      </c>
      <c r="E115" s="7"/>
      <c r="F115" s="7">
        <f>'FA CA'!F152</f>
        <v>9584</v>
      </c>
      <c r="G115" s="13"/>
    </row>
    <row r="116" spans="1:7" x14ac:dyDescent="0.15">
      <c r="A116" s="10">
        <v>4</v>
      </c>
      <c r="B116" s="7"/>
      <c r="C116" s="7" t="s">
        <v>12</v>
      </c>
      <c r="D116" s="11">
        <f>'FA CA'!D153</f>
        <v>43659</v>
      </c>
      <c r="E116" s="7"/>
      <c r="F116" s="7">
        <f>'FA CA'!F153</f>
        <v>345234</v>
      </c>
      <c r="G116" s="13"/>
    </row>
    <row r="117" spans="1:7" x14ac:dyDescent="0.15">
      <c r="A117" s="10">
        <v>6</v>
      </c>
      <c r="B117" s="7"/>
      <c r="C117" s="7" t="s">
        <v>13</v>
      </c>
      <c r="D117" s="11">
        <f>'FA CA'!D154</f>
        <v>43694</v>
      </c>
      <c r="E117" s="7"/>
      <c r="F117" s="7">
        <f>'FA CA'!F154</f>
        <v>895533</v>
      </c>
      <c r="G117" s="13"/>
    </row>
    <row r="118" spans="1:7" x14ac:dyDescent="0.15">
      <c r="A118" s="10">
        <v>7</v>
      </c>
      <c r="B118" s="7"/>
      <c r="C118" s="7" t="s">
        <v>14</v>
      </c>
      <c r="D118" s="11">
        <f>'FA CA'!D155</f>
        <v>43729</v>
      </c>
      <c r="E118" s="7"/>
      <c r="F118" s="7">
        <f>'FA CA'!F155</f>
        <v>89657</v>
      </c>
      <c r="G118" s="13"/>
    </row>
    <row r="119" spans="1:7" x14ac:dyDescent="0.15">
      <c r="A119" s="10">
        <v>8</v>
      </c>
      <c r="B119" s="7"/>
      <c r="C119" s="7" t="s">
        <v>15</v>
      </c>
      <c r="D119" s="11">
        <f>'FA CA'!D156</f>
        <v>43764</v>
      </c>
      <c r="E119" s="7"/>
      <c r="F119" s="7"/>
      <c r="G119" s="13">
        <f>'FA CA'!F156</f>
        <v>462313</v>
      </c>
    </row>
    <row r="120" spans="1:7" ht="11.25" thickBot="1" x14ac:dyDescent="0.2">
      <c r="A120" s="14">
        <v>9</v>
      </c>
      <c r="B120" s="15"/>
      <c r="C120" s="15" t="s">
        <v>16</v>
      </c>
      <c r="D120" s="16">
        <f>'FA CA'!D157</f>
        <v>43921</v>
      </c>
      <c r="E120" s="15"/>
      <c r="F120" s="15"/>
      <c r="G120" s="18">
        <f>'FA CA'!F157</f>
        <v>59697</v>
      </c>
    </row>
    <row r="121" spans="1:7" ht="11.25" thickBot="1" x14ac:dyDescent="0.2">
      <c r="F121" s="2"/>
    </row>
    <row r="122" spans="1:7" ht="32.25" thickBot="1" x14ac:dyDescent="0.2">
      <c r="A122" s="45" t="s">
        <v>0</v>
      </c>
      <c r="B122" s="44" t="s">
        <v>1</v>
      </c>
      <c r="C122" s="44" t="s">
        <v>2</v>
      </c>
      <c r="D122" s="46" t="s">
        <v>3</v>
      </c>
      <c r="E122" s="44" t="s">
        <v>30</v>
      </c>
      <c r="F122" s="44" t="s">
        <v>187</v>
      </c>
      <c r="G122" s="44" t="s">
        <v>188</v>
      </c>
    </row>
    <row r="123" spans="1:7" x14ac:dyDescent="0.15">
      <c r="A123" s="25">
        <v>1</v>
      </c>
      <c r="B123" s="185"/>
      <c r="C123" s="185" t="s">
        <v>10</v>
      </c>
      <c r="D123" s="186">
        <f>'FA CA'!D160</f>
        <v>44081</v>
      </c>
      <c r="E123" s="185"/>
      <c r="F123" s="185">
        <f>'FA CA'!F160</f>
        <v>8794</v>
      </c>
      <c r="G123" s="187"/>
    </row>
    <row r="124" spans="1:7" x14ac:dyDescent="0.15">
      <c r="A124" s="10">
        <v>3</v>
      </c>
      <c r="B124" s="7"/>
      <c r="C124" s="7" t="s">
        <v>11</v>
      </c>
      <c r="D124" s="11">
        <f>'FA CA'!D161</f>
        <v>44116</v>
      </c>
      <c r="E124" s="7"/>
      <c r="F124" s="23"/>
      <c r="G124" s="13">
        <f>'FA CA'!F161</f>
        <v>9584</v>
      </c>
    </row>
    <row r="125" spans="1:7" x14ac:dyDescent="0.15">
      <c r="A125" s="10">
        <v>4</v>
      </c>
      <c r="B125" s="7"/>
      <c r="C125" s="7" t="s">
        <v>12</v>
      </c>
      <c r="D125" s="11">
        <f>'FA CA'!D162</f>
        <v>44151</v>
      </c>
      <c r="E125" s="7"/>
      <c r="F125" s="23"/>
      <c r="G125" s="13">
        <f>'FA CA'!F162</f>
        <v>486438</v>
      </c>
    </row>
    <row r="126" spans="1:7" x14ac:dyDescent="0.15">
      <c r="A126" s="10">
        <v>6</v>
      </c>
      <c r="B126" s="7"/>
      <c r="C126" s="7" t="s">
        <v>13</v>
      </c>
      <c r="D126" s="11">
        <f>'FA CA'!D163</f>
        <v>44186</v>
      </c>
      <c r="E126" s="7"/>
      <c r="F126" s="23"/>
      <c r="G126" s="13">
        <f>'FA CA'!F163</f>
        <v>895533</v>
      </c>
    </row>
    <row r="127" spans="1:7" x14ac:dyDescent="0.15">
      <c r="A127" s="10">
        <v>7</v>
      </c>
      <c r="B127" s="7"/>
      <c r="C127" s="7" t="s">
        <v>14</v>
      </c>
      <c r="D127" s="11">
        <f>'FA CA'!D164</f>
        <v>44221</v>
      </c>
      <c r="E127" s="7"/>
      <c r="F127" s="23"/>
      <c r="G127" s="13">
        <f>'FA CA'!F164</f>
        <v>89657</v>
      </c>
    </row>
    <row r="128" spans="1:7" x14ac:dyDescent="0.15">
      <c r="A128" s="10">
        <v>8</v>
      </c>
      <c r="B128" s="7"/>
      <c r="C128" s="7" t="s">
        <v>15</v>
      </c>
      <c r="D128" s="11">
        <f>'FA CA'!D165</f>
        <v>44256</v>
      </c>
      <c r="E128" s="7"/>
      <c r="F128" s="23"/>
      <c r="G128" s="13">
        <f>'FA CA'!F165</f>
        <v>48563</v>
      </c>
    </row>
    <row r="129" spans="1:7" ht="11.25" thickBot="1" x14ac:dyDescent="0.2">
      <c r="A129" s="14">
        <v>9</v>
      </c>
      <c r="B129" s="15"/>
      <c r="C129" s="15" t="s">
        <v>16</v>
      </c>
      <c r="D129" s="16">
        <f>'FA CA'!D166</f>
        <v>44229</v>
      </c>
      <c r="E129" s="15"/>
      <c r="F129" s="117"/>
      <c r="G129" s="18">
        <f>'FA CA'!F166</f>
        <v>59697</v>
      </c>
    </row>
    <row r="130" spans="1:7" ht="11.25" thickBot="1" x14ac:dyDescent="0.2"/>
    <row r="131" spans="1:7" ht="32.25" thickBot="1" x14ac:dyDescent="0.2">
      <c r="A131" s="45" t="s">
        <v>0</v>
      </c>
      <c r="B131" s="44" t="s">
        <v>1</v>
      </c>
      <c r="C131" s="44" t="s">
        <v>2</v>
      </c>
      <c r="D131" s="46" t="s">
        <v>3</v>
      </c>
      <c r="E131" s="44" t="s">
        <v>30</v>
      </c>
      <c r="F131" s="44" t="s">
        <v>189</v>
      </c>
      <c r="G131" s="44" t="s">
        <v>190</v>
      </c>
    </row>
    <row r="132" spans="1:7" x14ac:dyDescent="0.15">
      <c r="A132" s="25">
        <v>1</v>
      </c>
      <c r="B132" s="185"/>
      <c r="C132" s="185" t="s">
        <v>10</v>
      </c>
      <c r="D132" s="186">
        <f>'FA CA'!D169</f>
        <v>44291</v>
      </c>
      <c r="E132" s="185"/>
      <c r="F132" s="185">
        <f>'FA CA'!F169</f>
        <v>8794</v>
      </c>
      <c r="G132" s="187"/>
    </row>
    <row r="133" spans="1:7" x14ac:dyDescent="0.15">
      <c r="A133" s="10">
        <v>3</v>
      </c>
      <c r="B133" s="7"/>
      <c r="C133" s="7" t="s">
        <v>11</v>
      </c>
      <c r="D133" s="11">
        <f>'FA CA'!D170</f>
        <v>44326</v>
      </c>
      <c r="E133" s="7"/>
      <c r="F133" s="7">
        <f>'FA CA'!F170</f>
        <v>34523</v>
      </c>
      <c r="G133" s="13"/>
    </row>
    <row r="134" spans="1:7" x14ac:dyDescent="0.15">
      <c r="A134" s="10">
        <v>4</v>
      </c>
      <c r="B134" s="7"/>
      <c r="C134" s="7" t="s">
        <v>12</v>
      </c>
      <c r="D134" s="11">
        <f>'FA CA'!D171</f>
        <v>44361</v>
      </c>
      <c r="E134" s="7"/>
      <c r="F134" s="7">
        <f>'FA CA'!F171</f>
        <v>95643</v>
      </c>
      <c r="G134" s="13"/>
    </row>
    <row r="135" spans="1:7" x14ac:dyDescent="0.15">
      <c r="A135" s="10">
        <v>6</v>
      </c>
      <c r="B135" s="7"/>
      <c r="C135" s="7" t="s">
        <v>13</v>
      </c>
      <c r="D135" s="11">
        <f>'FA CA'!D172</f>
        <v>44396</v>
      </c>
      <c r="E135" s="7"/>
      <c r="F135" s="7">
        <f>'FA CA'!F172</f>
        <v>45234</v>
      </c>
      <c r="G135" s="13"/>
    </row>
    <row r="136" spans="1:7" x14ac:dyDescent="0.15">
      <c r="A136" s="10">
        <v>7</v>
      </c>
      <c r="B136" s="7"/>
      <c r="C136" s="7" t="s">
        <v>14</v>
      </c>
      <c r="D136" s="11">
        <f>'FA CA'!D173</f>
        <v>44431</v>
      </c>
      <c r="E136" s="7"/>
      <c r="F136" s="7">
        <f>'FA CA'!F173</f>
        <v>356345</v>
      </c>
      <c r="G136" s="13"/>
    </row>
    <row r="137" spans="1:7" x14ac:dyDescent="0.15">
      <c r="A137" s="10">
        <v>8</v>
      </c>
      <c r="B137" s="7"/>
      <c r="C137" s="7" t="s">
        <v>15</v>
      </c>
      <c r="D137" s="11">
        <f>'FA CA'!D174</f>
        <v>44466</v>
      </c>
      <c r="E137" s="7"/>
      <c r="F137" s="7">
        <f>'FA CA'!F174</f>
        <v>456345</v>
      </c>
      <c r="G137" s="13"/>
    </row>
    <row r="138" spans="1:7" ht="11.25" thickBot="1" x14ac:dyDescent="0.2">
      <c r="A138" s="14">
        <v>9</v>
      </c>
      <c r="B138" s="15"/>
      <c r="C138" s="15" t="s">
        <v>16</v>
      </c>
      <c r="D138" s="16">
        <f>'FA CA'!D175</f>
        <v>44606</v>
      </c>
      <c r="E138" s="15"/>
      <c r="F138" s="117"/>
      <c r="G138" s="18">
        <f>'FA CA'!F175</f>
        <v>34567</v>
      </c>
    </row>
    <row r="139" spans="1:7" ht="11.25" thickBot="1" x14ac:dyDescent="0.2"/>
    <row r="140" spans="1:7" ht="32.25" thickBot="1" x14ac:dyDescent="0.2">
      <c r="A140" s="45" t="s">
        <v>0</v>
      </c>
      <c r="B140" s="44" t="s">
        <v>1</v>
      </c>
      <c r="C140" s="44" t="s">
        <v>2</v>
      </c>
      <c r="D140" s="46" t="s">
        <v>3</v>
      </c>
      <c r="E140" s="44" t="s">
        <v>30</v>
      </c>
      <c r="F140" s="44" t="s">
        <v>191</v>
      </c>
      <c r="G140" s="44" t="s">
        <v>192</v>
      </c>
    </row>
    <row r="141" spans="1:7" x14ac:dyDescent="0.15">
      <c r="A141" s="25">
        <v>1</v>
      </c>
      <c r="B141" s="185"/>
      <c r="C141" s="185" t="s">
        <v>10</v>
      </c>
      <c r="D141" s="186">
        <f>'FA CA'!D178</f>
        <v>44718</v>
      </c>
      <c r="E141" s="185"/>
      <c r="F141" s="185">
        <f>'FA CA'!F178</f>
        <v>5454</v>
      </c>
      <c r="G141" s="187"/>
    </row>
    <row r="142" spans="1:7" x14ac:dyDescent="0.15">
      <c r="A142" s="10">
        <v>3</v>
      </c>
      <c r="B142" s="7"/>
      <c r="C142" s="7" t="s">
        <v>11</v>
      </c>
      <c r="D142" s="11">
        <f>'FA CA'!D179</f>
        <v>44753</v>
      </c>
      <c r="E142" s="7"/>
      <c r="F142" s="7">
        <f>'FA CA'!F179</f>
        <v>87655</v>
      </c>
      <c r="G142" s="13"/>
    </row>
    <row r="143" spans="1:7" x14ac:dyDescent="0.15">
      <c r="A143" s="10">
        <v>4</v>
      </c>
      <c r="B143" s="7"/>
      <c r="C143" s="7" t="s">
        <v>12</v>
      </c>
      <c r="D143" s="11">
        <f>'FA CA'!D180</f>
        <v>44788</v>
      </c>
      <c r="E143" s="7"/>
      <c r="F143" s="7">
        <f>'FA CA'!F180</f>
        <v>67544</v>
      </c>
      <c r="G143" s="13"/>
    </row>
    <row r="144" spans="1:7" x14ac:dyDescent="0.15">
      <c r="A144" s="10">
        <v>6</v>
      </c>
      <c r="B144" s="7"/>
      <c r="C144" s="7" t="s">
        <v>13</v>
      </c>
      <c r="D144" s="11">
        <f>'FA CA'!D181</f>
        <v>44823</v>
      </c>
      <c r="E144" s="7"/>
      <c r="F144" s="7">
        <f>'FA CA'!F181</f>
        <v>675464</v>
      </c>
      <c r="G144" s="13"/>
    </row>
    <row r="145" spans="1:7" x14ac:dyDescent="0.15">
      <c r="A145" s="10">
        <v>7</v>
      </c>
      <c r="B145" s="7"/>
      <c r="C145" s="7" t="s">
        <v>14</v>
      </c>
      <c r="D145" s="11">
        <f>'FA CA'!D182</f>
        <v>44858</v>
      </c>
      <c r="E145" s="7"/>
      <c r="F145" s="7"/>
      <c r="G145" s="13">
        <f>'FA CA'!F182</f>
        <v>657456</v>
      </c>
    </row>
    <row r="146" spans="1:7" x14ac:dyDescent="0.15">
      <c r="A146" s="10">
        <v>8</v>
      </c>
      <c r="B146" s="7"/>
      <c r="C146" s="7" t="s">
        <v>15</v>
      </c>
      <c r="D146" s="11">
        <f>'FA CA'!D183</f>
        <v>44893</v>
      </c>
      <c r="E146" s="7"/>
      <c r="F146" s="7"/>
      <c r="G146" s="13">
        <f>'FA CA'!F183</f>
        <v>54645</v>
      </c>
    </row>
    <row r="147" spans="1:7" ht="11.25" thickBot="1" x14ac:dyDescent="0.2">
      <c r="A147" s="14">
        <v>9</v>
      </c>
      <c r="B147" s="15"/>
      <c r="C147" s="15" t="s">
        <v>16</v>
      </c>
      <c r="D147" s="16">
        <f>'FA CA'!D184</f>
        <v>44986</v>
      </c>
      <c r="E147" s="15"/>
      <c r="F147" s="15"/>
      <c r="G147" s="18">
        <f>'FA CA'!F184</f>
        <v>456345</v>
      </c>
    </row>
  </sheetData>
  <autoFilter ref="A2:G1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SoE</vt:lpstr>
      <vt:lpstr>Deferred</vt:lpstr>
      <vt:lpstr>COTI</vt:lpstr>
      <vt:lpstr>MAT</vt:lpstr>
      <vt:lpstr>FAS</vt:lpstr>
      <vt:lpstr>FA CA</vt:lpstr>
      <vt:lpstr>FA IT</vt:lpstr>
      <vt:lpstr>FA ADDN 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Rameshawar</dc:creator>
  <cp:lastModifiedBy>Rameshawar</cp:lastModifiedBy>
  <cp:lastPrinted>2018-03-17T07:26:27Z</cp:lastPrinted>
  <dcterms:created xsi:type="dcterms:W3CDTF">2018-03-16T10:48:05Z</dcterms:created>
  <dcterms:modified xsi:type="dcterms:W3CDTF">2018-03-19T13:23:25Z</dcterms:modified>
</cp:coreProperties>
</file>