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TDS data input sheet" sheetId="1" r:id="rId1"/>
    <sheet name="Ans. in anyway you want is here" sheetId="2" r:id="rId2"/>
    <sheet name="Sheet2" sheetId="3" r:id="rId3"/>
  </sheets>
  <externalReferences>
    <externalReference r:id="rId6"/>
  </externalReferences>
  <definedNames>
    <definedName name="_xlnm._FilterDatabase" localSheetId="1" hidden="1">'Ans. in anyway you want is here'!$B$3:$C$70</definedName>
    <definedName name="_xlnm.Print_Titles" localSheetId="1">'Ans. in anyway you want is here'!$1:$3</definedName>
    <definedName name="_xlnm.Print_Titles" localSheetId="0">'TDS data input sheet'!$3:$4</definedName>
  </definedNames>
  <calcPr fullCalcOnLoad="1"/>
</workbook>
</file>

<file path=xl/sharedStrings.xml><?xml version="1.0" encoding="utf-8"?>
<sst xmlns="http://schemas.openxmlformats.org/spreadsheetml/2006/main" count="140" uniqueCount="56">
  <si>
    <t>Date of Credit</t>
  </si>
  <si>
    <t>Date of Payment</t>
  </si>
  <si>
    <t>Sr. No.</t>
  </si>
  <si>
    <t>Name</t>
  </si>
  <si>
    <t>Pan</t>
  </si>
  <si>
    <t>Left</t>
  </si>
  <si>
    <t>Right</t>
  </si>
  <si>
    <t>DD</t>
  </si>
  <si>
    <t>MM</t>
  </si>
  <si>
    <t>YYYY</t>
  </si>
  <si>
    <t>Date</t>
  </si>
  <si>
    <t>month</t>
  </si>
  <si>
    <t>Year</t>
  </si>
  <si>
    <t>Due Date</t>
  </si>
  <si>
    <t>Days Late</t>
  </si>
  <si>
    <t>Rate</t>
  </si>
  <si>
    <t>Payment amount</t>
  </si>
  <si>
    <t>TDS</t>
  </si>
  <si>
    <t>Month</t>
  </si>
  <si>
    <t>TDS deducted  but not paid</t>
  </si>
  <si>
    <t>AIOPC2732M</t>
  </si>
  <si>
    <t>194C</t>
  </si>
  <si>
    <t>194D</t>
  </si>
  <si>
    <t>194H</t>
  </si>
  <si>
    <t>194A</t>
  </si>
  <si>
    <t>194I BUILDING</t>
  </si>
  <si>
    <t>194I RENT</t>
  </si>
  <si>
    <t>194 J</t>
  </si>
  <si>
    <t>Section</t>
  </si>
  <si>
    <t>SR. NO.</t>
  </si>
  <si>
    <t>PAN</t>
  </si>
  <si>
    <t>LEFT</t>
  </si>
  <si>
    <t>RIGHT</t>
  </si>
  <si>
    <t>DATE OF CREDIT</t>
  </si>
  <si>
    <t>DATE OF PAYMENT</t>
  </si>
  <si>
    <t>DUE DATE</t>
  </si>
  <si>
    <t>DD/MM/YYYY</t>
  </si>
  <si>
    <t>RATE OF TDS</t>
  </si>
  <si>
    <t>NAME OF THE DEDUCTEE</t>
  </si>
  <si>
    <t>T. D. S.</t>
  </si>
  <si>
    <t>SECTIONS 
OF TDS</t>
  </si>
  <si>
    <t>T.D.S.</t>
  </si>
  <si>
    <t>TOTAL OR SECTIONWISE FILTERISED TDS DATA</t>
  </si>
  <si>
    <t>SECTIONS
OF TDS</t>
  </si>
  <si>
    <t>AMOUNT ON WHICH TDS DEDUCTIBLE</t>
  </si>
  <si>
    <t>INTEREST 
@ 1.50%</t>
  </si>
  <si>
    <t>INTEREST PAYABLE @1.5% ON TDS DEDUCTED BUT NOT PAID</t>
  </si>
  <si>
    <t>EOMONTH FOR DUDATE</t>
  </si>
  <si>
    <t>CREDIT MONTH</t>
  </si>
  <si>
    <t>PAYMENT MONTH</t>
  </si>
  <si>
    <t>DIFFERENCE MONTH</t>
  </si>
  <si>
    <t>EDATE</t>
  </si>
  <si>
    <t>ADDITIONAL MONTH</t>
  </si>
  <si>
    <t>MONTHS TO BE CONSIDERED LATE</t>
  </si>
  <si>
    <t>Downloaded From</t>
  </si>
  <si>
    <t xml:space="preserve">www.taxguru.in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</si>
</sst>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_(* #,##0_);_(* \(#,##0\);_(* &quot;-&quot;??_);_(@_)"/>
    <numFmt numFmtId="166" formatCode="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sz val="13"/>
      <color theme="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 horizontal="center"/>
      <protection/>
    </xf>
    <xf numFmtId="0" fontId="42" fillId="0" borderId="11" xfId="0" applyFont="1" applyBorder="1" applyAlignment="1" applyProtection="1">
      <alignment horizontal="right"/>
      <protection locked="0"/>
    </xf>
    <xf numFmtId="164" fontId="42" fillId="0" borderId="10" xfId="0" applyNumberFormat="1" applyFont="1" applyFill="1" applyBorder="1" applyAlignment="1" applyProtection="1">
      <alignment/>
      <protection locked="0"/>
    </xf>
    <xf numFmtId="164" fontId="42" fillId="33" borderId="11" xfId="0" applyNumberFormat="1" applyFont="1" applyFill="1" applyBorder="1" applyAlignment="1" applyProtection="1">
      <alignment/>
      <protection/>
    </xf>
    <xf numFmtId="164" fontId="42" fillId="0" borderId="11" xfId="0" applyNumberFormat="1" applyFont="1" applyBorder="1" applyAlignment="1" applyProtection="1">
      <alignment/>
      <protection/>
    </xf>
    <xf numFmtId="165" fontId="42" fillId="0" borderId="11" xfId="42" applyNumberFormat="1" applyFont="1" applyBorder="1" applyAlignment="1" applyProtection="1">
      <alignment/>
      <protection locked="0"/>
    </xf>
    <xf numFmtId="165" fontId="42" fillId="0" borderId="11" xfId="0" applyNumberFormat="1" applyFont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right"/>
      <protection locked="0"/>
    </xf>
    <xf numFmtId="164" fontId="42" fillId="33" borderId="10" xfId="0" applyNumberFormat="1" applyFont="1" applyFill="1" applyBorder="1" applyAlignment="1" applyProtection="1">
      <alignment/>
      <protection/>
    </xf>
    <xf numFmtId="165" fontId="42" fillId="0" borderId="10" xfId="42" applyNumberFormat="1" applyFont="1" applyBorder="1" applyAlignment="1" applyProtection="1">
      <alignment/>
      <protection locked="0"/>
    </xf>
    <xf numFmtId="165" fontId="42" fillId="0" borderId="10" xfId="0" applyNumberFormat="1" applyFont="1" applyBorder="1" applyAlignment="1" applyProtection="1">
      <alignment/>
      <protection/>
    </xf>
    <xf numFmtId="165" fontId="43" fillId="0" borderId="12" xfId="42" applyNumberFormat="1" applyFont="1" applyBorder="1" applyAlignment="1" applyProtection="1">
      <alignment vertical="center"/>
      <protection/>
    </xf>
    <xf numFmtId="165" fontId="43" fillId="0" borderId="12" xfId="42" applyNumberFormat="1" applyFont="1" applyFill="1" applyBorder="1" applyAlignment="1" applyProtection="1">
      <alignment vertical="center"/>
      <protection/>
    </xf>
    <xf numFmtId="165" fontId="43" fillId="0" borderId="0" xfId="42" applyNumberFormat="1" applyFont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165" fontId="42" fillId="0" borderId="10" xfId="42" applyNumberFormat="1" applyFont="1" applyBorder="1" applyAlignment="1">
      <alignment/>
    </xf>
    <xf numFmtId="43" fontId="42" fillId="0" borderId="10" xfId="42" applyFont="1" applyBorder="1" applyAlignment="1">
      <alignment/>
    </xf>
    <xf numFmtId="0" fontId="42" fillId="0" borderId="0" xfId="0" applyFont="1" applyAlignment="1">
      <alignment/>
    </xf>
    <xf numFmtId="0" fontId="43" fillId="0" borderId="13" xfId="0" applyFont="1" applyBorder="1" applyAlignment="1">
      <alignment/>
    </xf>
    <xf numFmtId="43" fontId="43" fillId="0" borderId="13" xfId="42" applyFont="1" applyBorder="1" applyAlignment="1">
      <alignment/>
    </xf>
    <xf numFmtId="0" fontId="43" fillId="0" borderId="0" xfId="0" applyFont="1" applyBorder="1" applyAlignment="1" applyProtection="1">
      <alignment/>
      <protection/>
    </xf>
    <xf numFmtId="43" fontId="43" fillId="0" borderId="0" xfId="42" applyFont="1" applyBorder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43" fontId="42" fillId="0" borderId="12" xfId="0" applyNumberFormat="1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166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/>
      <protection/>
    </xf>
    <xf numFmtId="43" fontId="28" fillId="0" borderId="0" xfId="42" applyFont="1" applyFill="1" applyBorder="1" applyAlignment="1" applyProtection="1">
      <alignment/>
      <protection/>
    </xf>
    <xf numFmtId="165" fontId="45" fillId="0" borderId="0" xfId="42" applyNumberFormat="1" applyFont="1" applyFill="1" applyBorder="1" applyAlignment="1" applyProtection="1">
      <alignment vertical="center"/>
      <protection/>
    </xf>
    <xf numFmtId="165" fontId="46" fillId="0" borderId="0" xfId="42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17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14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9" fontId="25" fillId="0" borderId="0" xfId="0" applyNumberFormat="1" applyFont="1" applyFill="1" applyBorder="1" applyAlignment="1" applyProtection="1">
      <alignment/>
      <protection/>
    </xf>
    <xf numFmtId="164" fontId="42" fillId="0" borderId="11" xfId="0" applyNumberFormat="1" applyFont="1" applyFill="1" applyBorder="1" applyAlignment="1" applyProtection="1">
      <alignment/>
      <protection locked="0"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3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17" fontId="43" fillId="0" borderId="14" xfId="0" applyNumberFormat="1" applyFont="1" applyBorder="1" applyAlignment="1" applyProtection="1">
      <alignment horizontal="center" vertical="center" wrapText="1"/>
      <protection/>
    </xf>
    <xf numFmtId="17" fontId="43" fillId="0" borderId="15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514350</xdr:colOff>
      <xdr:row>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2927925" y="133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514350</xdr:colOff>
      <xdr:row>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2927925" y="152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514350</xdr:colOff>
      <xdr:row>3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292792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514350</xdr:colOff>
      <xdr:row>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32927925" y="76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514350</xdr:colOff>
      <xdr:row>5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32927925" y="95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514350</xdr:colOff>
      <xdr:row>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2927925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514350</xdr:colOff>
      <xdr:row>7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32927925" y="133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514350</xdr:colOff>
      <xdr:row>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32927925" y="171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sword_2007_2010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guru.i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guru.i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421875" style="1" bestFit="1" customWidth="1"/>
    <col min="2" max="2" width="3.7109375" style="1" bestFit="1" customWidth="1"/>
    <col min="3" max="3" width="19.57421875" style="1" bestFit="1" customWidth="1"/>
    <col min="4" max="4" width="10.28125" style="1" bestFit="1" customWidth="1"/>
    <col min="5" max="5" width="9.28125" style="2" bestFit="1" customWidth="1"/>
    <col min="6" max="6" width="1.7109375" style="2" customWidth="1"/>
    <col min="7" max="7" width="9.28125" style="2" bestFit="1" customWidth="1"/>
    <col min="8" max="8" width="1.7109375" style="1" customWidth="1"/>
    <col min="9" max="9" width="11.00390625" style="1" bestFit="1" customWidth="1"/>
    <col min="10" max="10" width="1.7109375" style="1" customWidth="1"/>
    <col min="11" max="11" width="6.28125" style="1" bestFit="1" customWidth="1"/>
    <col min="12" max="12" width="11.28125" style="1" customWidth="1"/>
    <col min="13" max="13" width="10.7109375" style="1" customWidth="1"/>
    <col min="14" max="14" width="6.7109375" style="1" bestFit="1" customWidth="1"/>
    <col min="15" max="15" width="11.28125" style="1" bestFit="1" customWidth="1"/>
    <col min="16" max="16384" width="9.140625" style="1" customWidth="1"/>
  </cols>
  <sheetData>
    <row r="2" ht="15" customHeight="1"/>
    <row r="3" spans="1:15" ht="27.75" customHeight="1">
      <c r="A3" s="57" t="s">
        <v>40</v>
      </c>
      <c r="B3" s="57" t="s">
        <v>29</v>
      </c>
      <c r="C3" s="57" t="s">
        <v>38</v>
      </c>
      <c r="D3" s="57" t="s">
        <v>30</v>
      </c>
      <c r="E3" s="57" t="s">
        <v>33</v>
      </c>
      <c r="F3" s="63"/>
      <c r="G3" s="57" t="s">
        <v>34</v>
      </c>
      <c r="H3" s="63"/>
      <c r="I3" s="57" t="s">
        <v>35</v>
      </c>
      <c r="J3" s="63"/>
      <c r="K3" s="57" t="s">
        <v>37</v>
      </c>
      <c r="L3" s="65" t="s">
        <v>44</v>
      </c>
      <c r="M3" s="57" t="s">
        <v>39</v>
      </c>
      <c r="N3" s="59" t="s">
        <v>46</v>
      </c>
      <c r="O3" s="60"/>
    </row>
    <row r="4" spans="1:15" s="4" customFormat="1" ht="27" customHeight="1" thickBot="1">
      <c r="A4" s="58"/>
      <c r="B4" s="58"/>
      <c r="C4" s="58"/>
      <c r="D4" s="58"/>
      <c r="E4" s="58" t="s">
        <v>33</v>
      </c>
      <c r="F4" s="64"/>
      <c r="G4" s="58" t="s">
        <v>34</v>
      </c>
      <c r="H4" s="64"/>
      <c r="I4" s="58" t="s">
        <v>36</v>
      </c>
      <c r="J4" s="64"/>
      <c r="K4" s="58"/>
      <c r="L4" s="66"/>
      <c r="M4" s="58"/>
      <c r="N4" s="61"/>
      <c r="O4" s="62"/>
    </row>
    <row r="5" spans="1:15" ht="12">
      <c r="A5" s="5" t="s">
        <v>21</v>
      </c>
      <c r="B5" s="6">
        <v>1</v>
      </c>
      <c r="C5" s="5"/>
      <c r="D5" s="7"/>
      <c r="E5" s="8">
        <v>40691</v>
      </c>
      <c r="F5" s="9"/>
      <c r="G5" s="56">
        <v>41879</v>
      </c>
      <c r="H5" s="9"/>
      <c r="I5" s="10">
        <f>+Sheet2!A4+7</f>
        <v>40701</v>
      </c>
      <c r="J5" s="9"/>
      <c r="K5" s="6" t="str">
        <f>+IF(A5="194c",Sheet2!P4,IF(D5="","20%",Sheet2!Q4))</f>
        <v>20%</v>
      </c>
      <c r="L5" s="11"/>
      <c r="M5" s="12">
        <f aca="true" t="shared" si="0" ref="M5:M36">+ROUND(L5*K5,0)</f>
        <v>0</v>
      </c>
      <c r="N5" s="6">
        <f>+IF(G5&lt;=I5,0,Sheet2!O4)</f>
        <v>39</v>
      </c>
      <c r="O5" s="12">
        <f aca="true" t="shared" si="1" ref="O5:O36">+ROUND((M5*N5)*1.5%,0)</f>
        <v>0</v>
      </c>
    </row>
    <row r="6" spans="1:15" ht="12">
      <c r="A6" s="13" t="s">
        <v>21</v>
      </c>
      <c r="B6" s="14">
        <f aca="true" t="shared" si="2" ref="B6:B37">+B5+1</f>
        <v>2</v>
      </c>
      <c r="C6" s="13"/>
      <c r="D6" s="15"/>
      <c r="E6" s="8">
        <v>40640</v>
      </c>
      <c r="F6" s="16"/>
      <c r="G6" s="8">
        <v>41066</v>
      </c>
      <c r="H6" s="16"/>
      <c r="I6" s="10">
        <f>+Sheet2!A5+7</f>
        <v>40670</v>
      </c>
      <c r="J6" s="16"/>
      <c r="K6" s="14" t="str">
        <f>+IF(A6="194c",Sheet2!P5,IF(D6="","20%",Sheet2!Q5))</f>
        <v>20%</v>
      </c>
      <c r="L6" s="17"/>
      <c r="M6" s="18">
        <f t="shared" si="0"/>
        <v>0</v>
      </c>
      <c r="N6" s="6">
        <f>+IF(G6&lt;=I6,0,Sheet2!O5)</f>
        <v>14</v>
      </c>
      <c r="O6" s="12">
        <f t="shared" si="1"/>
        <v>0</v>
      </c>
    </row>
    <row r="7" spans="1:15" ht="12">
      <c r="A7" s="13" t="s">
        <v>21</v>
      </c>
      <c r="B7" s="14">
        <f t="shared" si="2"/>
        <v>3</v>
      </c>
      <c r="C7" s="13"/>
      <c r="D7" s="15"/>
      <c r="E7" s="8">
        <v>41061</v>
      </c>
      <c r="F7" s="16"/>
      <c r="G7" s="8">
        <v>41128</v>
      </c>
      <c r="H7" s="16"/>
      <c r="I7" s="10">
        <f>+Sheet2!A6+7</f>
        <v>41097</v>
      </c>
      <c r="J7" s="16"/>
      <c r="K7" s="14" t="str">
        <f>+IF(A7="194c",Sheet2!P6,IF(D7="","20%",Sheet2!Q6))</f>
        <v>20%</v>
      </c>
      <c r="L7" s="17"/>
      <c r="M7" s="18">
        <f t="shared" si="0"/>
        <v>0</v>
      </c>
      <c r="N7" s="6">
        <f>+IF(G7&lt;=I7,0,Sheet2!O6)</f>
        <v>2</v>
      </c>
      <c r="O7" s="12">
        <f t="shared" si="1"/>
        <v>0</v>
      </c>
    </row>
    <row r="8" spans="1:15" ht="12">
      <c r="A8" s="13" t="s">
        <v>22</v>
      </c>
      <c r="B8" s="14">
        <f t="shared" si="2"/>
        <v>4</v>
      </c>
      <c r="C8" s="13"/>
      <c r="D8" s="15"/>
      <c r="E8" s="8">
        <v>41061</v>
      </c>
      <c r="F8" s="16"/>
      <c r="G8" s="8">
        <v>41128</v>
      </c>
      <c r="H8" s="16"/>
      <c r="I8" s="10">
        <f>+Sheet2!A7+7</f>
        <v>41097</v>
      </c>
      <c r="J8" s="16"/>
      <c r="K8" s="14" t="str">
        <f>+IF(A8="194c",Sheet2!P7,IF(D8="","20%",Sheet2!Q7))</f>
        <v>20%</v>
      </c>
      <c r="L8" s="17"/>
      <c r="M8" s="18">
        <f t="shared" si="0"/>
        <v>0</v>
      </c>
      <c r="N8" s="6">
        <f>+IF(G8&lt;=I8,0,Sheet2!O7)</f>
        <v>2</v>
      </c>
      <c r="O8" s="12">
        <f t="shared" si="1"/>
        <v>0</v>
      </c>
    </row>
    <row r="9" spans="1:15" ht="12">
      <c r="A9" s="13" t="s">
        <v>23</v>
      </c>
      <c r="B9" s="14">
        <f t="shared" si="2"/>
        <v>5</v>
      </c>
      <c r="C9" s="13"/>
      <c r="D9" s="15"/>
      <c r="E9" s="8">
        <v>41061</v>
      </c>
      <c r="F9" s="16"/>
      <c r="G9" s="8">
        <v>41128</v>
      </c>
      <c r="H9" s="16"/>
      <c r="I9" s="10">
        <f>+Sheet2!A8+7</f>
        <v>41097</v>
      </c>
      <c r="J9" s="16"/>
      <c r="K9" s="14" t="str">
        <f>+IF(A9="194c",Sheet2!P8,IF(D9="","20%",Sheet2!Q8))</f>
        <v>20%</v>
      </c>
      <c r="L9" s="17"/>
      <c r="M9" s="18">
        <f t="shared" si="0"/>
        <v>0</v>
      </c>
      <c r="N9" s="6">
        <f>+IF(G9&lt;=I9,0,Sheet2!O8)</f>
        <v>2</v>
      </c>
      <c r="O9" s="12">
        <f t="shared" si="1"/>
        <v>0</v>
      </c>
    </row>
    <row r="10" spans="1:15" ht="12">
      <c r="A10" s="13" t="s">
        <v>26</v>
      </c>
      <c r="B10" s="14">
        <f t="shared" si="2"/>
        <v>6</v>
      </c>
      <c r="C10" s="13"/>
      <c r="D10" s="15"/>
      <c r="E10" s="8">
        <v>41061</v>
      </c>
      <c r="F10" s="16"/>
      <c r="G10" s="8">
        <v>41128</v>
      </c>
      <c r="H10" s="16"/>
      <c r="I10" s="10">
        <f>+Sheet2!A9+7</f>
        <v>41097</v>
      </c>
      <c r="J10" s="16"/>
      <c r="K10" s="14" t="str">
        <f>+IF(A10="194c",Sheet2!P9,IF(D10="","20%",Sheet2!Q9))</f>
        <v>20%</v>
      </c>
      <c r="L10" s="17"/>
      <c r="M10" s="18">
        <f t="shared" si="0"/>
        <v>0</v>
      </c>
      <c r="N10" s="6">
        <f>+IF(G10&lt;=I10,0,Sheet2!O9)</f>
        <v>2</v>
      </c>
      <c r="O10" s="12">
        <f t="shared" si="1"/>
        <v>0</v>
      </c>
    </row>
    <row r="11" spans="1:15" ht="12">
      <c r="A11" s="13" t="s">
        <v>22</v>
      </c>
      <c r="B11" s="14">
        <f t="shared" si="2"/>
        <v>7</v>
      </c>
      <c r="C11" s="13"/>
      <c r="D11" s="15"/>
      <c r="E11" s="8">
        <v>41061</v>
      </c>
      <c r="F11" s="16"/>
      <c r="G11" s="8">
        <v>41128</v>
      </c>
      <c r="H11" s="16"/>
      <c r="I11" s="10">
        <f>+Sheet2!A10+7</f>
        <v>41097</v>
      </c>
      <c r="J11" s="16"/>
      <c r="K11" s="14" t="str">
        <f>+IF(A11="194c",Sheet2!P10,IF(D11="","20%",Sheet2!Q10))</f>
        <v>20%</v>
      </c>
      <c r="L11" s="17"/>
      <c r="M11" s="18">
        <f t="shared" si="0"/>
        <v>0</v>
      </c>
      <c r="N11" s="6">
        <f>+IF(G11&lt;=I11,0,Sheet2!O10)</f>
        <v>2</v>
      </c>
      <c r="O11" s="12">
        <f t="shared" si="1"/>
        <v>0</v>
      </c>
    </row>
    <row r="12" spans="1:15" ht="12">
      <c r="A12" s="13" t="s">
        <v>21</v>
      </c>
      <c r="B12" s="14">
        <f t="shared" si="2"/>
        <v>8</v>
      </c>
      <c r="C12" s="13"/>
      <c r="D12" s="15"/>
      <c r="E12" s="8">
        <v>41061</v>
      </c>
      <c r="F12" s="16"/>
      <c r="G12" s="8">
        <v>41128</v>
      </c>
      <c r="H12" s="16"/>
      <c r="I12" s="10">
        <f>+Sheet2!A11+7</f>
        <v>41097</v>
      </c>
      <c r="J12" s="16"/>
      <c r="K12" s="14" t="str">
        <f>+IF(A12="194c",Sheet2!P11,IF(D12="","20%",Sheet2!Q11))</f>
        <v>20%</v>
      </c>
      <c r="L12" s="17"/>
      <c r="M12" s="18">
        <f t="shared" si="0"/>
        <v>0</v>
      </c>
      <c r="N12" s="6">
        <f>+IF(G12&lt;=I12,0,Sheet2!O11)</f>
        <v>2</v>
      </c>
      <c r="O12" s="12">
        <f t="shared" si="1"/>
        <v>0</v>
      </c>
    </row>
    <row r="13" spans="1:15" ht="12">
      <c r="A13" s="13" t="s">
        <v>27</v>
      </c>
      <c r="B13" s="14">
        <f t="shared" si="2"/>
        <v>9</v>
      </c>
      <c r="C13" s="13"/>
      <c r="D13" s="15"/>
      <c r="E13" s="8">
        <v>41061</v>
      </c>
      <c r="F13" s="16"/>
      <c r="G13" s="8">
        <v>41128</v>
      </c>
      <c r="H13" s="16"/>
      <c r="I13" s="10">
        <f>+Sheet2!A12+7</f>
        <v>41097</v>
      </c>
      <c r="J13" s="16"/>
      <c r="K13" s="14" t="str">
        <f>+IF(A13="194c",Sheet2!P12,IF(D13="","20%",Sheet2!Q12))</f>
        <v>20%</v>
      </c>
      <c r="L13" s="17"/>
      <c r="M13" s="18">
        <f t="shared" si="0"/>
        <v>0</v>
      </c>
      <c r="N13" s="6">
        <f>+IF(G13&lt;=I13,0,Sheet2!O12)</f>
        <v>2</v>
      </c>
      <c r="O13" s="12">
        <f t="shared" si="1"/>
        <v>0</v>
      </c>
    </row>
    <row r="14" spans="1:15" ht="12">
      <c r="A14" s="13" t="s">
        <v>21</v>
      </c>
      <c r="B14" s="14">
        <f t="shared" si="2"/>
        <v>10</v>
      </c>
      <c r="C14" s="13"/>
      <c r="D14" s="15"/>
      <c r="E14" s="8">
        <v>41061</v>
      </c>
      <c r="F14" s="16"/>
      <c r="G14" s="8">
        <v>41128</v>
      </c>
      <c r="H14" s="16"/>
      <c r="I14" s="10">
        <f>+Sheet2!A13+7</f>
        <v>41097</v>
      </c>
      <c r="J14" s="16"/>
      <c r="K14" s="14" t="str">
        <f>+IF(A14="194c",Sheet2!P13,IF(D14="","20%",Sheet2!Q13))</f>
        <v>20%</v>
      </c>
      <c r="L14" s="17"/>
      <c r="M14" s="18">
        <f t="shared" si="0"/>
        <v>0</v>
      </c>
      <c r="N14" s="6">
        <f>+IF(G14&lt;=I14,0,Sheet2!O13)</f>
        <v>2</v>
      </c>
      <c r="O14" s="12">
        <f t="shared" si="1"/>
        <v>0</v>
      </c>
    </row>
    <row r="15" spans="1:15" ht="12">
      <c r="A15" s="13" t="s">
        <v>27</v>
      </c>
      <c r="B15" s="14">
        <f t="shared" si="2"/>
        <v>11</v>
      </c>
      <c r="C15" s="13"/>
      <c r="D15" s="15"/>
      <c r="E15" s="8">
        <v>41061</v>
      </c>
      <c r="F15" s="16"/>
      <c r="G15" s="8">
        <v>41128</v>
      </c>
      <c r="H15" s="16"/>
      <c r="I15" s="10">
        <f>+Sheet2!A14+7</f>
        <v>41097</v>
      </c>
      <c r="J15" s="16"/>
      <c r="K15" s="14" t="str">
        <f>+IF(A15="194c",Sheet2!P14,IF(D15="","20%",Sheet2!Q14))</f>
        <v>20%</v>
      </c>
      <c r="L15" s="17"/>
      <c r="M15" s="18">
        <f t="shared" si="0"/>
        <v>0</v>
      </c>
      <c r="N15" s="6">
        <f>+IF(G15&lt;=I15,0,Sheet2!O14)</f>
        <v>2</v>
      </c>
      <c r="O15" s="12">
        <f t="shared" si="1"/>
        <v>0</v>
      </c>
    </row>
    <row r="16" spans="1:15" ht="12">
      <c r="A16" s="13" t="s">
        <v>27</v>
      </c>
      <c r="B16" s="14">
        <f t="shared" si="2"/>
        <v>12</v>
      </c>
      <c r="C16" s="13"/>
      <c r="D16" s="15"/>
      <c r="E16" s="8">
        <v>41061</v>
      </c>
      <c r="F16" s="16"/>
      <c r="G16" s="8">
        <v>41128</v>
      </c>
      <c r="H16" s="16"/>
      <c r="I16" s="10">
        <f>+Sheet2!A15+7</f>
        <v>41097</v>
      </c>
      <c r="J16" s="16"/>
      <c r="K16" s="14" t="str">
        <f>+IF(A16="194c",Sheet2!P15,IF(D16="","20%",Sheet2!Q15))</f>
        <v>20%</v>
      </c>
      <c r="L16" s="17"/>
      <c r="M16" s="18">
        <f t="shared" si="0"/>
        <v>0</v>
      </c>
      <c r="N16" s="6">
        <f>+IF(G16&lt;=I16,0,Sheet2!O15)</f>
        <v>2</v>
      </c>
      <c r="O16" s="12">
        <f t="shared" si="1"/>
        <v>0</v>
      </c>
    </row>
    <row r="17" spans="1:15" ht="12">
      <c r="A17" s="13" t="s">
        <v>27</v>
      </c>
      <c r="B17" s="14">
        <f t="shared" si="2"/>
        <v>13</v>
      </c>
      <c r="C17" s="13"/>
      <c r="D17" s="15"/>
      <c r="E17" s="8">
        <v>41061</v>
      </c>
      <c r="F17" s="16"/>
      <c r="G17" s="8">
        <v>41128</v>
      </c>
      <c r="H17" s="16"/>
      <c r="I17" s="10">
        <f>+Sheet2!A16+7</f>
        <v>41097</v>
      </c>
      <c r="J17" s="16"/>
      <c r="K17" s="14" t="str">
        <f>+IF(A17="194c",Sheet2!P16,IF(D17="","20%",Sheet2!Q16))</f>
        <v>20%</v>
      </c>
      <c r="L17" s="17"/>
      <c r="M17" s="18">
        <f t="shared" si="0"/>
        <v>0</v>
      </c>
      <c r="N17" s="6">
        <f>+IF(G17&lt;=I17,0,Sheet2!O16)</f>
        <v>2</v>
      </c>
      <c r="O17" s="12">
        <f t="shared" si="1"/>
        <v>0</v>
      </c>
    </row>
    <row r="18" spans="1:15" ht="12">
      <c r="A18" s="13" t="s">
        <v>27</v>
      </c>
      <c r="B18" s="14">
        <f t="shared" si="2"/>
        <v>14</v>
      </c>
      <c r="C18" s="13"/>
      <c r="D18" s="15"/>
      <c r="E18" s="8">
        <v>41061</v>
      </c>
      <c r="F18" s="16"/>
      <c r="G18" s="8">
        <v>41128</v>
      </c>
      <c r="H18" s="16"/>
      <c r="I18" s="10">
        <f>+Sheet2!A17+7</f>
        <v>41097</v>
      </c>
      <c r="J18" s="16"/>
      <c r="K18" s="14" t="str">
        <f>+IF(A18="194c",Sheet2!P17,IF(D18="","20%",Sheet2!Q17))</f>
        <v>20%</v>
      </c>
      <c r="L18" s="17"/>
      <c r="M18" s="18">
        <f t="shared" si="0"/>
        <v>0</v>
      </c>
      <c r="N18" s="6">
        <f>+IF(G18&lt;=I18,0,Sheet2!O17)</f>
        <v>2</v>
      </c>
      <c r="O18" s="12">
        <f t="shared" si="1"/>
        <v>0</v>
      </c>
    </row>
    <row r="19" spans="1:15" ht="12">
      <c r="A19" s="13" t="s">
        <v>27</v>
      </c>
      <c r="B19" s="14">
        <f t="shared" si="2"/>
        <v>15</v>
      </c>
      <c r="C19" s="13"/>
      <c r="D19" s="15"/>
      <c r="E19" s="8">
        <v>41061</v>
      </c>
      <c r="F19" s="16"/>
      <c r="G19" s="8">
        <v>41128</v>
      </c>
      <c r="H19" s="16"/>
      <c r="I19" s="10">
        <f>+Sheet2!A18+7</f>
        <v>41097</v>
      </c>
      <c r="J19" s="16"/>
      <c r="K19" s="14" t="str">
        <f>+IF(A19="194c",Sheet2!P18,IF(D19="","20%",Sheet2!Q18))</f>
        <v>20%</v>
      </c>
      <c r="L19" s="17"/>
      <c r="M19" s="18">
        <f t="shared" si="0"/>
        <v>0</v>
      </c>
      <c r="N19" s="6">
        <f>+IF(G19&lt;=I19,0,Sheet2!O18)</f>
        <v>2</v>
      </c>
      <c r="O19" s="12">
        <f t="shared" si="1"/>
        <v>0</v>
      </c>
    </row>
    <row r="20" spans="1:15" ht="12">
      <c r="A20" s="13" t="s">
        <v>27</v>
      </c>
      <c r="B20" s="14">
        <f t="shared" si="2"/>
        <v>16</v>
      </c>
      <c r="C20" s="13"/>
      <c r="D20" s="15"/>
      <c r="E20" s="8">
        <v>41061</v>
      </c>
      <c r="F20" s="16"/>
      <c r="G20" s="8">
        <v>41128</v>
      </c>
      <c r="H20" s="16"/>
      <c r="I20" s="10">
        <f>+Sheet2!A19+7</f>
        <v>41097</v>
      </c>
      <c r="J20" s="16"/>
      <c r="K20" s="14" t="str">
        <f>+IF(A20="194c",Sheet2!P19,IF(D20="","20%",Sheet2!Q19))</f>
        <v>20%</v>
      </c>
      <c r="L20" s="17"/>
      <c r="M20" s="18">
        <f t="shared" si="0"/>
        <v>0</v>
      </c>
      <c r="N20" s="6">
        <f>+IF(G20&lt;=I20,0,Sheet2!O19)</f>
        <v>2</v>
      </c>
      <c r="O20" s="12">
        <f t="shared" si="1"/>
        <v>0</v>
      </c>
    </row>
    <row r="21" spans="1:15" ht="12">
      <c r="A21" s="13" t="s">
        <v>27</v>
      </c>
      <c r="B21" s="14">
        <f t="shared" si="2"/>
        <v>17</v>
      </c>
      <c r="C21" s="13"/>
      <c r="D21" s="15"/>
      <c r="E21" s="8">
        <v>41061</v>
      </c>
      <c r="F21" s="16"/>
      <c r="G21" s="8">
        <v>41128</v>
      </c>
      <c r="H21" s="16"/>
      <c r="I21" s="10">
        <f>+Sheet2!A20+7</f>
        <v>41097</v>
      </c>
      <c r="J21" s="16"/>
      <c r="K21" s="14" t="str">
        <f>+IF(A21="194c",Sheet2!P20,IF(D21="","20%",Sheet2!Q20))</f>
        <v>20%</v>
      </c>
      <c r="L21" s="17"/>
      <c r="M21" s="18">
        <f t="shared" si="0"/>
        <v>0</v>
      </c>
      <c r="N21" s="6">
        <f>+IF(G21&lt;=I21,0,Sheet2!O20)</f>
        <v>2</v>
      </c>
      <c r="O21" s="12">
        <f t="shared" si="1"/>
        <v>0</v>
      </c>
    </row>
    <row r="22" spans="1:15" ht="12">
      <c r="A22" s="13" t="s">
        <v>27</v>
      </c>
      <c r="B22" s="14">
        <f t="shared" si="2"/>
        <v>18</v>
      </c>
      <c r="C22" s="13"/>
      <c r="D22" s="15"/>
      <c r="E22" s="8">
        <v>41061</v>
      </c>
      <c r="F22" s="16"/>
      <c r="G22" s="8">
        <v>41128</v>
      </c>
      <c r="H22" s="16"/>
      <c r="I22" s="10">
        <f>+Sheet2!A21+7</f>
        <v>41097</v>
      </c>
      <c r="J22" s="16"/>
      <c r="K22" s="14" t="str">
        <f>+IF(A22="194c",Sheet2!P21,IF(D22="","20%",Sheet2!Q21))</f>
        <v>20%</v>
      </c>
      <c r="L22" s="17"/>
      <c r="M22" s="18">
        <f t="shared" si="0"/>
        <v>0</v>
      </c>
      <c r="N22" s="6">
        <f>+IF(G22&lt;=I22,0,Sheet2!O21)</f>
        <v>2</v>
      </c>
      <c r="O22" s="12">
        <f t="shared" si="1"/>
        <v>0</v>
      </c>
    </row>
    <row r="23" spans="1:15" ht="12">
      <c r="A23" s="13" t="s">
        <v>27</v>
      </c>
      <c r="B23" s="14">
        <f t="shared" si="2"/>
        <v>19</v>
      </c>
      <c r="C23" s="13"/>
      <c r="D23" s="15"/>
      <c r="E23" s="8">
        <v>41061</v>
      </c>
      <c r="F23" s="16"/>
      <c r="G23" s="8">
        <v>41128</v>
      </c>
      <c r="H23" s="16"/>
      <c r="I23" s="10">
        <f>+Sheet2!A22+7</f>
        <v>41097</v>
      </c>
      <c r="J23" s="16"/>
      <c r="K23" s="14" t="str">
        <f>+IF(A23="194c",Sheet2!P22,IF(D23="","20%",Sheet2!Q22))</f>
        <v>20%</v>
      </c>
      <c r="L23" s="17"/>
      <c r="M23" s="18">
        <f t="shared" si="0"/>
        <v>0</v>
      </c>
      <c r="N23" s="6">
        <f>+IF(G23&lt;=I23,0,Sheet2!O22)</f>
        <v>2</v>
      </c>
      <c r="O23" s="12">
        <f t="shared" si="1"/>
        <v>0</v>
      </c>
    </row>
    <row r="24" spans="1:15" ht="12">
      <c r="A24" s="13" t="s">
        <v>27</v>
      </c>
      <c r="B24" s="14">
        <f t="shared" si="2"/>
        <v>20</v>
      </c>
      <c r="C24" s="13"/>
      <c r="D24" s="15"/>
      <c r="E24" s="8">
        <v>41061</v>
      </c>
      <c r="F24" s="16"/>
      <c r="G24" s="8">
        <v>41128</v>
      </c>
      <c r="H24" s="16"/>
      <c r="I24" s="10">
        <f>+Sheet2!A23+7</f>
        <v>41097</v>
      </c>
      <c r="J24" s="16"/>
      <c r="K24" s="14" t="str">
        <f>+IF(A24="194c",Sheet2!P23,IF(D24="","20%",Sheet2!Q23))</f>
        <v>20%</v>
      </c>
      <c r="L24" s="17"/>
      <c r="M24" s="18">
        <f t="shared" si="0"/>
        <v>0</v>
      </c>
      <c r="N24" s="6">
        <f>+IF(G24&lt;=I24,0,Sheet2!O23)</f>
        <v>2</v>
      </c>
      <c r="O24" s="12">
        <f t="shared" si="1"/>
        <v>0</v>
      </c>
    </row>
    <row r="25" spans="1:15" ht="12">
      <c r="A25" s="13" t="s">
        <v>27</v>
      </c>
      <c r="B25" s="14">
        <f t="shared" si="2"/>
        <v>21</v>
      </c>
      <c r="C25" s="13"/>
      <c r="D25" s="15"/>
      <c r="E25" s="8">
        <v>41061</v>
      </c>
      <c r="F25" s="16"/>
      <c r="G25" s="8">
        <v>41128</v>
      </c>
      <c r="H25" s="16"/>
      <c r="I25" s="10">
        <f>+Sheet2!A24+7</f>
        <v>41097</v>
      </c>
      <c r="J25" s="16"/>
      <c r="K25" s="14" t="str">
        <f>+IF(A25="194c",Sheet2!P24,IF(D25="","20%",Sheet2!Q24))</f>
        <v>20%</v>
      </c>
      <c r="L25" s="17"/>
      <c r="M25" s="18">
        <f t="shared" si="0"/>
        <v>0</v>
      </c>
      <c r="N25" s="6">
        <f>+IF(G25&lt;=I25,0,Sheet2!O24)</f>
        <v>2</v>
      </c>
      <c r="O25" s="12">
        <f t="shared" si="1"/>
        <v>0</v>
      </c>
    </row>
    <row r="26" spans="1:15" ht="12">
      <c r="A26" s="13" t="s">
        <v>27</v>
      </c>
      <c r="B26" s="14">
        <f t="shared" si="2"/>
        <v>22</v>
      </c>
      <c r="C26" s="13"/>
      <c r="D26" s="15"/>
      <c r="E26" s="8">
        <v>41061</v>
      </c>
      <c r="F26" s="16"/>
      <c r="G26" s="8">
        <v>41128</v>
      </c>
      <c r="H26" s="16"/>
      <c r="I26" s="10">
        <f>+Sheet2!A25+7</f>
        <v>41097</v>
      </c>
      <c r="J26" s="16"/>
      <c r="K26" s="14" t="str">
        <f>+IF(A26="194c",Sheet2!P25,IF(D26="","20%",Sheet2!Q25))</f>
        <v>20%</v>
      </c>
      <c r="L26" s="17"/>
      <c r="M26" s="18">
        <f t="shared" si="0"/>
        <v>0</v>
      </c>
      <c r="N26" s="6">
        <f>+IF(G26&lt;=I26,0,Sheet2!O25)</f>
        <v>2</v>
      </c>
      <c r="O26" s="12">
        <f t="shared" si="1"/>
        <v>0</v>
      </c>
    </row>
    <row r="27" spans="1:15" ht="12">
      <c r="A27" s="13" t="s">
        <v>27</v>
      </c>
      <c r="B27" s="14">
        <f t="shared" si="2"/>
        <v>23</v>
      </c>
      <c r="C27" s="13"/>
      <c r="D27" s="15"/>
      <c r="E27" s="8">
        <v>41061</v>
      </c>
      <c r="F27" s="16"/>
      <c r="G27" s="8">
        <v>41128</v>
      </c>
      <c r="H27" s="16"/>
      <c r="I27" s="10">
        <f>+Sheet2!A26+7</f>
        <v>41097</v>
      </c>
      <c r="J27" s="16"/>
      <c r="K27" s="14" t="str">
        <f>+IF(A27="194c",Sheet2!P26,IF(D27="","20%",Sheet2!Q26))</f>
        <v>20%</v>
      </c>
      <c r="L27" s="17"/>
      <c r="M27" s="18">
        <f t="shared" si="0"/>
        <v>0</v>
      </c>
      <c r="N27" s="6">
        <f>+IF(G27&lt;=I27,0,Sheet2!O26)</f>
        <v>2</v>
      </c>
      <c r="O27" s="12">
        <f t="shared" si="1"/>
        <v>0</v>
      </c>
    </row>
    <row r="28" spans="1:15" ht="12">
      <c r="A28" s="13" t="s">
        <v>27</v>
      </c>
      <c r="B28" s="14">
        <f t="shared" si="2"/>
        <v>24</v>
      </c>
      <c r="C28" s="13"/>
      <c r="D28" s="15"/>
      <c r="E28" s="8">
        <v>41061</v>
      </c>
      <c r="F28" s="16"/>
      <c r="G28" s="8">
        <v>41128</v>
      </c>
      <c r="H28" s="16"/>
      <c r="I28" s="10">
        <f>+Sheet2!A27+7</f>
        <v>41097</v>
      </c>
      <c r="J28" s="16"/>
      <c r="K28" s="14" t="str">
        <f>+IF(A28="194c",Sheet2!P27,IF(D28="","20%",Sheet2!Q27))</f>
        <v>20%</v>
      </c>
      <c r="L28" s="17"/>
      <c r="M28" s="18">
        <f t="shared" si="0"/>
        <v>0</v>
      </c>
      <c r="N28" s="6">
        <f>+IF(G28&lt;=I28,0,Sheet2!O27)</f>
        <v>2</v>
      </c>
      <c r="O28" s="12">
        <f t="shared" si="1"/>
        <v>0</v>
      </c>
    </row>
    <row r="29" spans="1:15" ht="12">
      <c r="A29" s="13" t="s">
        <v>27</v>
      </c>
      <c r="B29" s="14">
        <f t="shared" si="2"/>
        <v>25</v>
      </c>
      <c r="C29" s="13"/>
      <c r="D29" s="15"/>
      <c r="E29" s="8">
        <v>41061</v>
      </c>
      <c r="F29" s="16"/>
      <c r="G29" s="8">
        <v>41128</v>
      </c>
      <c r="H29" s="16"/>
      <c r="I29" s="10">
        <f>+Sheet2!A28+7</f>
        <v>41097</v>
      </c>
      <c r="J29" s="16"/>
      <c r="K29" s="14" t="str">
        <f>+IF(A29="194c",Sheet2!P28,IF(D29="","20%",Sheet2!Q28))</f>
        <v>20%</v>
      </c>
      <c r="L29" s="17"/>
      <c r="M29" s="18">
        <f t="shared" si="0"/>
        <v>0</v>
      </c>
      <c r="N29" s="6">
        <f>+IF(G29&lt;=I29,0,Sheet2!O28)</f>
        <v>2</v>
      </c>
      <c r="O29" s="12">
        <f t="shared" si="1"/>
        <v>0</v>
      </c>
    </row>
    <row r="30" spans="1:15" ht="12">
      <c r="A30" s="13" t="s">
        <v>27</v>
      </c>
      <c r="B30" s="14">
        <f t="shared" si="2"/>
        <v>26</v>
      </c>
      <c r="C30" s="13"/>
      <c r="D30" s="15"/>
      <c r="E30" s="8">
        <v>41061</v>
      </c>
      <c r="F30" s="16"/>
      <c r="G30" s="8">
        <v>41128</v>
      </c>
      <c r="H30" s="16"/>
      <c r="I30" s="10">
        <f>+Sheet2!A29+7</f>
        <v>41097</v>
      </c>
      <c r="J30" s="16"/>
      <c r="K30" s="14" t="str">
        <f>+IF(A30="194c",Sheet2!P29,IF(D30="","20%",Sheet2!Q29))</f>
        <v>20%</v>
      </c>
      <c r="L30" s="17"/>
      <c r="M30" s="18">
        <f t="shared" si="0"/>
        <v>0</v>
      </c>
      <c r="N30" s="6">
        <f>+IF(G30&lt;=I30,0,Sheet2!O29)</f>
        <v>2</v>
      </c>
      <c r="O30" s="12">
        <f t="shared" si="1"/>
        <v>0</v>
      </c>
    </row>
    <row r="31" spans="1:15" ht="12">
      <c r="A31" s="13" t="s">
        <v>27</v>
      </c>
      <c r="B31" s="14">
        <f t="shared" si="2"/>
        <v>27</v>
      </c>
      <c r="C31" s="13"/>
      <c r="D31" s="15"/>
      <c r="E31" s="8">
        <v>41061</v>
      </c>
      <c r="F31" s="16"/>
      <c r="G31" s="8">
        <v>41128</v>
      </c>
      <c r="H31" s="16"/>
      <c r="I31" s="10">
        <f>+Sheet2!A30+7</f>
        <v>41097</v>
      </c>
      <c r="J31" s="16"/>
      <c r="K31" s="14" t="str">
        <f>+IF(A31="194c",Sheet2!P30,IF(D31="","20%",Sheet2!Q30))</f>
        <v>20%</v>
      </c>
      <c r="L31" s="17"/>
      <c r="M31" s="18">
        <f t="shared" si="0"/>
        <v>0</v>
      </c>
      <c r="N31" s="6">
        <f>+IF(G31&lt;=I31,0,Sheet2!O30)</f>
        <v>2</v>
      </c>
      <c r="O31" s="12">
        <f t="shared" si="1"/>
        <v>0</v>
      </c>
    </row>
    <row r="32" spans="1:15" ht="12">
      <c r="A32" s="13" t="s">
        <v>27</v>
      </c>
      <c r="B32" s="14">
        <f t="shared" si="2"/>
        <v>28</v>
      </c>
      <c r="C32" s="13"/>
      <c r="D32" s="15"/>
      <c r="E32" s="8">
        <v>41061</v>
      </c>
      <c r="F32" s="16"/>
      <c r="G32" s="8">
        <v>41128</v>
      </c>
      <c r="H32" s="16"/>
      <c r="I32" s="10">
        <f>+Sheet2!A31+7</f>
        <v>41097</v>
      </c>
      <c r="J32" s="16"/>
      <c r="K32" s="14" t="str">
        <f>+IF(A32="194c",Sheet2!P31,IF(D32="","20%",Sheet2!Q31))</f>
        <v>20%</v>
      </c>
      <c r="L32" s="17"/>
      <c r="M32" s="18">
        <f t="shared" si="0"/>
        <v>0</v>
      </c>
      <c r="N32" s="6">
        <f>+IF(G32&lt;=I32,0,Sheet2!O31)</f>
        <v>2</v>
      </c>
      <c r="O32" s="12">
        <f t="shared" si="1"/>
        <v>0</v>
      </c>
    </row>
    <row r="33" spans="1:15" ht="12">
      <c r="A33" s="13" t="s">
        <v>27</v>
      </c>
      <c r="B33" s="14">
        <f t="shared" si="2"/>
        <v>29</v>
      </c>
      <c r="C33" s="13"/>
      <c r="D33" s="15"/>
      <c r="E33" s="8">
        <v>41061</v>
      </c>
      <c r="F33" s="16"/>
      <c r="G33" s="8">
        <v>41128</v>
      </c>
      <c r="H33" s="16"/>
      <c r="I33" s="10">
        <f>+Sheet2!A32+7</f>
        <v>41097</v>
      </c>
      <c r="J33" s="16"/>
      <c r="K33" s="14" t="str">
        <f>+IF(A33="194c",Sheet2!P32,IF(D33="","20%",Sheet2!Q32))</f>
        <v>20%</v>
      </c>
      <c r="L33" s="17"/>
      <c r="M33" s="18">
        <f t="shared" si="0"/>
        <v>0</v>
      </c>
      <c r="N33" s="6">
        <f>+IF(G33&lt;=I33,0,Sheet2!O32)</f>
        <v>2</v>
      </c>
      <c r="O33" s="12">
        <f t="shared" si="1"/>
        <v>0</v>
      </c>
    </row>
    <row r="34" spans="1:15" ht="12">
      <c r="A34" s="13" t="s">
        <v>27</v>
      </c>
      <c r="B34" s="14">
        <f t="shared" si="2"/>
        <v>30</v>
      </c>
      <c r="C34" s="13"/>
      <c r="D34" s="15"/>
      <c r="E34" s="8">
        <v>41061</v>
      </c>
      <c r="F34" s="16"/>
      <c r="G34" s="8">
        <v>41128</v>
      </c>
      <c r="H34" s="16"/>
      <c r="I34" s="10">
        <f>+Sheet2!A33+7</f>
        <v>41097</v>
      </c>
      <c r="J34" s="16"/>
      <c r="K34" s="14" t="str">
        <f>+IF(A34="194c",Sheet2!P33,IF(D34="","20%",Sheet2!Q33))</f>
        <v>20%</v>
      </c>
      <c r="L34" s="17"/>
      <c r="M34" s="18">
        <f t="shared" si="0"/>
        <v>0</v>
      </c>
      <c r="N34" s="6">
        <f>+IF(G34&lt;=I34,0,Sheet2!O33)</f>
        <v>2</v>
      </c>
      <c r="O34" s="12">
        <f t="shared" si="1"/>
        <v>0</v>
      </c>
    </row>
    <row r="35" spans="1:15" ht="12">
      <c r="A35" s="13" t="s">
        <v>27</v>
      </c>
      <c r="B35" s="14">
        <f t="shared" si="2"/>
        <v>31</v>
      </c>
      <c r="C35" s="13"/>
      <c r="D35" s="15"/>
      <c r="E35" s="8">
        <v>41061</v>
      </c>
      <c r="F35" s="16"/>
      <c r="G35" s="8">
        <v>41128</v>
      </c>
      <c r="H35" s="16"/>
      <c r="I35" s="10">
        <f>+Sheet2!A34+7</f>
        <v>41097</v>
      </c>
      <c r="J35" s="16"/>
      <c r="K35" s="14" t="str">
        <f>+IF(A35="194c",Sheet2!P34,IF(D35="","20%",Sheet2!Q34))</f>
        <v>20%</v>
      </c>
      <c r="L35" s="17"/>
      <c r="M35" s="18">
        <f t="shared" si="0"/>
        <v>0</v>
      </c>
      <c r="N35" s="6">
        <f>+IF(G35&lt;=I35,0,Sheet2!O34)</f>
        <v>2</v>
      </c>
      <c r="O35" s="12">
        <f t="shared" si="1"/>
        <v>0</v>
      </c>
    </row>
    <row r="36" spans="1:15" ht="12">
      <c r="A36" s="13" t="s">
        <v>27</v>
      </c>
      <c r="B36" s="14">
        <f t="shared" si="2"/>
        <v>32</v>
      </c>
      <c r="C36" s="13"/>
      <c r="D36" s="15"/>
      <c r="E36" s="8">
        <v>41061</v>
      </c>
      <c r="F36" s="16"/>
      <c r="G36" s="8">
        <v>41128</v>
      </c>
      <c r="H36" s="16"/>
      <c r="I36" s="10">
        <f>+Sheet2!A35+7</f>
        <v>41097</v>
      </c>
      <c r="J36" s="16"/>
      <c r="K36" s="14" t="str">
        <f>+IF(A36="194c",Sheet2!P35,IF(D36="","20%",Sheet2!Q35))</f>
        <v>20%</v>
      </c>
      <c r="L36" s="17"/>
      <c r="M36" s="18">
        <f t="shared" si="0"/>
        <v>0</v>
      </c>
      <c r="N36" s="6">
        <f>+IF(G36&lt;=I36,0,Sheet2!O35)</f>
        <v>2</v>
      </c>
      <c r="O36" s="12">
        <f t="shared" si="1"/>
        <v>0</v>
      </c>
    </row>
    <row r="37" spans="1:15" ht="12">
      <c r="A37" s="13" t="s">
        <v>27</v>
      </c>
      <c r="B37" s="14">
        <f t="shared" si="2"/>
        <v>33</v>
      </c>
      <c r="C37" s="13"/>
      <c r="D37" s="15"/>
      <c r="E37" s="8">
        <v>41061</v>
      </c>
      <c r="F37" s="16"/>
      <c r="G37" s="8">
        <v>41128</v>
      </c>
      <c r="H37" s="16"/>
      <c r="I37" s="10">
        <f>+Sheet2!A36+7</f>
        <v>41097</v>
      </c>
      <c r="J37" s="16"/>
      <c r="K37" s="14" t="str">
        <f>+IF(A37="194c",Sheet2!P36,IF(D37="","20%",Sheet2!Q36))</f>
        <v>20%</v>
      </c>
      <c r="L37" s="17"/>
      <c r="M37" s="18">
        <f aca="true" t="shared" si="3" ref="M37:M68">+ROUND(L37*K37,0)</f>
        <v>0</v>
      </c>
      <c r="N37" s="6">
        <f>+IF(G37&lt;=I37,0,Sheet2!O36)</f>
        <v>2</v>
      </c>
      <c r="O37" s="12">
        <f aca="true" t="shared" si="4" ref="O37:O68">+ROUND((M37*N37)*1.5%,0)</f>
        <v>0</v>
      </c>
    </row>
    <row r="38" spans="1:15" ht="12">
      <c r="A38" s="13" t="s">
        <v>27</v>
      </c>
      <c r="B38" s="14">
        <f aca="true" t="shared" si="5" ref="B38:B70">+B37+1</f>
        <v>34</v>
      </c>
      <c r="C38" s="13"/>
      <c r="D38" s="15"/>
      <c r="E38" s="8">
        <v>41061</v>
      </c>
      <c r="F38" s="16"/>
      <c r="G38" s="8">
        <v>41128</v>
      </c>
      <c r="H38" s="16"/>
      <c r="I38" s="10">
        <f>+Sheet2!A37+7</f>
        <v>41097</v>
      </c>
      <c r="J38" s="16"/>
      <c r="K38" s="14" t="str">
        <f>+IF(A38="194c",Sheet2!P37,IF(D38="","20%",Sheet2!Q37))</f>
        <v>20%</v>
      </c>
      <c r="L38" s="17"/>
      <c r="M38" s="18">
        <f t="shared" si="3"/>
        <v>0</v>
      </c>
      <c r="N38" s="6">
        <f>+IF(G38&lt;=I38,0,Sheet2!O37)</f>
        <v>2</v>
      </c>
      <c r="O38" s="12">
        <f t="shared" si="4"/>
        <v>0</v>
      </c>
    </row>
    <row r="39" spans="1:15" ht="12">
      <c r="A39" s="13" t="s">
        <v>27</v>
      </c>
      <c r="B39" s="14">
        <f t="shared" si="5"/>
        <v>35</v>
      </c>
      <c r="C39" s="13"/>
      <c r="D39" s="15"/>
      <c r="E39" s="8">
        <v>41061</v>
      </c>
      <c r="F39" s="16"/>
      <c r="G39" s="8">
        <v>41128</v>
      </c>
      <c r="H39" s="16"/>
      <c r="I39" s="10">
        <f>+Sheet2!A38+7</f>
        <v>41097</v>
      </c>
      <c r="J39" s="16"/>
      <c r="K39" s="14" t="str">
        <f>+IF(A39="194c",Sheet2!P38,IF(D39="","20%",Sheet2!Q38))</f>
        <v>20%</v>
      </c>
      <c r="L39" s="17"/>
      <c r="M39" s="18">
        <f t="shared" si="3"/>
        <v>0</v>
      </c>
      <c r="N39" s="6">
        <f>+IF(G39&lt;=I39,0,Sheet2!O38)</f>
        <v>2</v>
      </c>
      <c r="O39" s="12">
        <f t="shared" si="4"/>
        <v>0</v>
      </c>
    </row>
    <row r="40" spans="1:15" ht="12">
      <c r="A40" s="13" t="s">
        <v>27</v>
      </c>
      <c r="B40" s="14">
        <f t="shared" si="5"/>
        <v>36</v>
      </c>
      <c r="C40" s="13"/>
      <c r="D40" s="15"/>
      <c r="E40" s="8">
        <v>41061</v>
      </c>
      <c r="F40" s="16"/>
      <c r="G40" s="8">
        <v>41128</v>
      </c>
      <c r="H40" s="16"/>
      <c r="I40" s="10">
        <f>+Sheet2!A39+7</f>
        <v>41097</v>
      </c>
      <c r="J40" s="16"/>
      <c r="K40" s="14" t="str">
        <f>+IF(A40="194c",Sheet2!P39,IF(D40="","20%",Sheet2!Q39))</f>
        <v>20%</v>
      </c>
      <c r="L40" s="17"/>
      <c r="M40" s="18">
        <f t="shared" si="3"/>
        <v>0</v>
      </c>
      <c r="N40" s="6">
        <f>+IF(G40&lt;=I40,0,Sheet2!O39)</f>
        <v>2</v>
      </c>
      <c r="O40" s="12">
        <f t="shared" si="4"/>
        <v>0</v>
      </c>
    </row>
    <row r="41" spans="1:15" ht="12">
      <c r="A41" s="13" t="s">
        <v>27</v>
      </c>
      <c r="B41" s="14">
        <f t="shared" si="5"/>
        <v>37</v>
      </c>
      <c r="C41" s="13"/>
      <c r="D41" s="15"/>
      <c r="E41" s="8">
        <v>41061</v>
      </c>
      <c r="F41" s="16"/>
      <c r="G41" s="8">
        <v>41128</v>
      </c>
      <c r="H41" s="16"/>
      <c r="I41" s="10">
        <f>+Sheet2!A40+7</f>
        <v>41097</v>
      </c>
      <c r="J41" s="16"/>
      <c r="K41" s="14" t="str">
        <f>+IF(A41="194c",Sheet2!P40,IF(D41="","20%",Sheet2!Q40))</f>
        <v>20%</v>
      </c>
      <c r="L41" s="17"/>
      <c r="M41" s="18">
        <f t="shared" si="3"/>
        <v>0</v>
      </c>
      <c r="N41" s="6">
        <f>+IF(G41&lt;=I41,0,Sheet2!O40)</f>
        <v>2</v>
      </c>
      <c r="O41" s="12">
        <f t="shared" si="4"/>
        <v>0</v>
      </c>
    </row>
    <row r="42" spans="1:15" ht="12">
      <c r="A42" s="13" t="s">
        <v>27</v>
      </c>
      <c r="B42" s="14">
        <f t="shared" si="5"/>
        <v>38</v>
      </c>
      <c r="C42" s="13"/>
      <c r="D42" s="15"/>
      <c r="E42" s="8">
        <v>41061</v>
      </c>
      <c r="F42" s="16"/>
      <c r="G42" s="8">
        <v>41128</v>
      </c>
      <c r="H42" s="16"/>
      <c r="I42" s="10">
        <f>+Sheet2!A41+7</f>
        <v>41097</v>
      </c>
      <c r="J42" s="16"/>
      <c r="K42" s="14" t="str">
        <f>+IF(A42="194c",Sheet2!P41,IF(D42="","20%",Sheet2!Q41))</f>
        <v>20%</v>
      </c>
      <c r="L42" s="17"/>
      <c r="M42" s="18">
        <f t="shared" si="3"/>
        <v>0</v>
      </c>
      <c r="N42" s="6">
        <f>+IF(G42&lt;=I42,0,Sheet2!O41)</f>
        <v>2</v>
      </c>
      <c r="O42" s="12">
        <f t="shared" si="4"/>
        <v>0</v>
      </c>
    </row>
    <row r="43" spans="1:15" ht="12">
      <c r="A43" s="13" t="s">
        <v>27</v>
      </c>
      <c r="B43" s="14">
        <f t="shared" si="5"/>
        <v>39</v>
      </c>
      <c r="C43" s="13"/>
      <c r="D43" s="15"/>
      <c r="E43" s="8">
        <v>41061</v>
      </c>
      <c r="F43" s="16"/>
      <c r="G43" s="8">
        <v>41128</v>
      </c>
      <c r="H43" s="16"/>
      <c r="I43" s="10">
        <f>+Sheet2!A42+7</f>
        <v>41097</v>
      </c>
      <c r="J43" s="16"/>
      <c r="K43" s="14" t="str">
        <f>+IF(A43="194c",Sheet2!P42,IF(D43="","20%",Sheet2!Q42))</f>
        <v>20%</v>
      </c>
      <c r="L43" s="17"/>
      <c r="M43" s="18">
        <f t="shared" si="3"/>
        <v>0</v>
      </c>
      <c r="N43" s="6">
        <f>+IF(G43&lt;=I43,0,Sheet2!O42)</f>
        <v>2</v>
      </c>
      <c r="O43" s="12">
        <f t="shared" si="4"/>
        <v>0</v>
      </c>
    </row>
    <row r="44" spans="1:15" ht="12">
      <c r="A44" s="13" t="s">
        <v>27</v>
      </c>
      <c r="B44" s="14">
        <f t="shared" si="5"/>
        <v>40</v>
      </c>
      <c r="C44" s="13"/>
      <c r="D44" s="15"/>
      <c r="E44" s="8">
        <v>41061</v>
      </c>
      <c r="F44" s="16"/>
      <c r="G44" s="8">
        <v>41128</v>
      </c>
      <c r="H44" s="16"/>
      <c r="I44" s="10">
        <f>+Sheet2!A43+7</f>
        <v>41097</v>
      </c>
      <c r="J44" s="16"/>
      <c r="K44" s="14" t="str">
        <f>+IF(A44="194c",Sheet2!P43,IF(D44="","20%",Sheet2!Q43))</f>
        <v>20%</v>
      </c>
      <c r="L44" s="17"/>
      <c r="M44" s="18">
        <f t="shared" si="3"/>
        <v>0</v>
      </c>
      <c r="N44" s="6">
        <f>+IF(G44&lt;=I44,0,Sheet2!O43)</f>
        <v>2</v>
      </c>
      <c r="O44" s="12">
        <f t="shared" si="4"/>
        <v>0</v>
      </c>
    </row>
    <row r="45" spans="1:15" ht="12">
      <c r="A45" s="13" t="s">
        <v>27</v>
      </c>
      <c r="B45" s="14">
        <f t="shared" si="5"/>
        <v>41</v>
      </c>
      <c r="C45" s="13"/>
      <c r="D45" s="15"/>
      <c r="E45" s="8">
        <v>41061</v>
      </c>
      <c r="F45" s="16"/>
      <c r="G45" s="8">
        <v>41128</v>
      </c>
      <c r="H45" s="16"/>
      <c r="I45" s="10">
        <f>+Sheet2!A44+7</f>
        <v>41097</v>
      </c>
      <c r="J45" s="16"/>
      <c r="K45" s="14" t="str">
        <f>+IF(A45="194c",Sheet2!P44,IF(D45="","20%",Sheet2!Q44))</f>
        <v>20%</v>
      </c>
      <c r="L45" s="17"/>
      <c r="M45" s="18">
        <f t="shared" si="3"/>
        <v>0</v>
      </c>
      <c r="N45" s="6">
        <f>+IF(G45&lt;=I45,0,Sheet2!O44)</f>
        <v>2</v>
      </c>
      <c r="O45" s="12">
        <f t="shared" si="4"/>
        <v>0</v>
      </c>
    </row>
    <row r="46" spans="1:15" ht="12">
      <c r="A46" s="13" t="s">
        <v>27</v>
      </c>
      <c r="B46" s="14">
        <f t="shared" si="5"/>
        <v>42</v>
      </c>
      <c r="C46" s="13"/>
      <c r="D46" s="15"/>
      <c r="E46" s="8">
        <v>41061</v>
      </c>
      <c r="F46" s="16"/>
      <c r="G46" s="8">
        <v>41128</v>
      </c>
      <c r="H46" s="16"/>
      <c r="I46" s="10">
        <f>+Sheet2!A45+7</f>
        <v>41097</v>
      </c>
      <c r="J46" s="16"/>
      <c r="K46" s="14" t="str">
        <f>+IF(A46="194c",Sheet2!P45,IF(D46="","20%",Sheet2!Q45))</f>
        <v>20%</v>
      </c>
      <c r="L46" s="17"/>
      <c r="M46" s="18">
        <f t="shared" si="3"/>
        <v>0</v>
      </c>
      <c r="N46" s="6">
        <f>+IF(G46&lt;=I46,0,Sheet2!O45)</f>
        <v>2</v>
      </c>
      <c r="O46" s="12">
        <f t="shared" si="4"/>
        <v>0</v>
      </c>
    </row>
    <row r="47" spans="1:15" ht="12">
      <c r="A47" s="13" t="s">
        <v>27</v>
      </c>
      <c r="B47" s="14">
        <f t="shared" si="5"/>
        <v>43</v>
      </c>
      <c r="C47" s="13"/>
      <c r="D47" s="15"/>
      <c r="E47" s="8">
        <v>41061</v>
      </c>
      <c r="F47" s="16"/>
      <c r="G47" s="8">
        <v>41128</v>
      </c>
      <c r="H47" s="16"/>
      <c r="I47" s="10">
        <f>+Sheet2!A46+7</f>
        <v>41097</v>
      </c>
      <c r="J47" s="16"/>
      <c r="K47" s="14" t="str">
        <f>+IF(A47="194c",Sheet2!P46,IF(D47="","20%",Sheet2!Q46))</f>
        <v>20%</v>
      </c>
      <c r="L47" s="17"/>
      <c r="M47" s="18">
        <f t="shared" si="3"/>
        <v>0</v>
      </c>
      <c r="N47" s="6">
        <f>+IF(G47&lt;=I47,0,Sheet2!O46)</f>
        <v>2</v>
      </c>
      <c r="O47" s="12">
        <f t="shared" si="4"/>
        <v>0</v>
      </c>
    </row>
    <row r="48" spans="1:15" ht="12">
      <c r="A48" s="13" t="s">
        <v>27</v>
      </c>
      <c r="B48" s="14">
        <f t="shared" si="5"/>
        <v>44</v>
      </c>
      <c r="C48" s="13"/>
      <c r="D48" s="15"/>
      <c r="E48" s="8">
        <v>41061</v>
      </c>
      <c r="F48" s="16"/>
      <c r="G48" s="8">
        <v>41128</v>
      </c>
      <c r="H48" s="16"/>
      <c r="I48" s="10">
        <f>+Sheet2!A47+7</f>
        <v>41097</v>
      </c>
      <c r="J48" s="16"/>
      <c r="K48" s="14" t="str">
        <f>+IF(A48="194c",Sheet2!P47,IF(D48="","20%",Sheet2!Q47))</f>
        <v>20%</v>
      </c>
      <c r="L48" s="17"/>
      <c r="M48" s="18">
        <f t="shared" si="3"/>
        <v>0</v>
      </c>
      <c r="N48" s="6">
        <f>+IF(G48&lt;=I48,0,Sheet2!O47)</f>
        <v>2</v>
      </c>
      <c r="O48" s="12">
        <f t="shared" si="4"/>
        <v>0</v>
      </c>
    </row>
    <row r="49" spans="1:15" ht="12">
      <c r="A49" s="13" t="s">
        <v>27</v>
      </c>
      <c r="B49" s="14">
        <f t="shared" si="5"/>
        <v>45</v>
      </c>
      <c r="C49" s="13"/>
      <c r="D49" s="15"/>
      <c r="E49" s="8">
        <v>41061</v>
      </c>
      <c r="F49" s="16"/>
      <c r="G49" s="8">
        <v>41128</v>
      </c>
      <c r="H49" s="16"/>
      <c r="I49" s="10">
        <f>+Sheet2!A48+7</f>
        <v>41097</v>
      </c>
      <c r="J49" s="16"/>
      <c r="K49" s="14" t="str">
        <f>+IF(A49="194c",Sheet2!P48,IF(D49="","20%",Sheet2!Q48))</f>
        <v>20%</v>
      </c>
      <c r="L49" s="17"/>
      <c r="M49" s="18">
        <f t="shared" si="3"/>
        <v>0</v>
      </c>
      <c r="N49" s="6">
        <f>+IF(G49&lt;=I49,0,Sheet2!O48)</f>
        <v>2</v>
      </c>
      <c r="O49" s="12">
        <f t="shared" si="4"/>
        <v>0</v>
      </c>
    </row>
    <row r="50" spans="1:15" ht="12">
      <c r="A50" s="13" t="s">
        <v>27</v>
      </c>
      <c r="B50" s="14">
        <f t="shared" si="5"/>
        <v>46</v>
      </c>
      <c r="C50" s="13"/>
      <c r="D50" s="15"/>
      <c r="E50" s="8">
        <v>41061</v>
      </c>
      <c r="F50" s="16"/>
      <c r="G50" s="8">
        <v>41128</v>
      </c>
      <c r="H50" s="16"/>
      <c r="I50" s="10">
        <f>+Sheet2!A49+7</f>
        <v>41097</v>
      </c>
      <c r="J50" s="16"/>
      <c r="K50" s="14" t="str">
        <f>+IF(A50="194c",Sheet2!P49,IF(D50="","20%",Sheet2!Q49))</f>
        <v>20%</v>
      </c>
      <c r="L50" s="17"/>
      <c r="M50" s="18">
        <f t="shared" si="3"/>
        <v>0</v>
      </c>
      <c r="N50" s="6">
        <f>+IF(G50&lt;=I50,0,Sheet2!O49)</f>
        <v>2</v>
      </c>
      <c r="O50" s="12">
        <f t="shared" si="4"/>
        <v>0</v>
      </c>
    </row>
    <row r="51" spans="1:15" ht="12">
      <c r="A51" s="13" t="s">
        <v>27</v>
      </c>
      <c r="B51" s="14">
        <f t="shared" si="5"/>
        <v>47</v>
      </c>
      <c r="C51" s="13"/>
      <c r="D51" s="15"/>
      <c r="E51" s="8">
        <v>41061</v>
      </c>
      <c r="F51" s="16"/>
      <c r="G51" s="8">
        <v>41128</v>
      </c>
      <c r="H51" s="16"/>
      <c r="I51" s="10">
        <f>+Sheet2!A50+7</f>
        <v>41097</v>
      </c>
      <c r="J51" s="16"/>
      <c r="K51" s="14" t="str">
        <f>+IF(A51="194c",Sheet2!P50,IF(D51="","20%",Sheet2!Q50))</f>
        <v>20%</v>
      </c>
      <c r="L51" s="17"/>
      <c r="M51" s="18">
        <f t="shared" si="3"/>
        <v>0</v>
      </c>
      <c r="N51" s="6">
        <f>+IF(G51&lt;=I51,0,Sheet2!O50)</f>
        <v>2</v>
      </c>
      <c r="O51" s="12">
        <f t="shared" si="4"/>
        <v>0</v>
      </c>
    </row>
    <row r="52" spans="1:15" ht="12">
      <c r="A52" s="13" t="s">
        <v>27</v>
      </c>
      <c r="B52" s="14">
        <f t="shared" si="5"/>
        <v>48</v>
      </c>
      <c r="C52" s="13"/>
      <c r="D52" s="15"/>
      <c r="E52" s="8">
        <v>41061</v>
      </c>
      <c r="F52" s="16"/>
      <c r="G52" s="8">
        <v>41128</v>
      </c>
      <c r="H52" s="16"/>
      <c r="I52" s="10">
        <f>+Sheet2!A51+7</f>
        <v>41097</v>
      </c>
      <c r="J52" s="16"/>
      <c r="K52" s="14" t="str">
        <f>+IF(A52="194c",Sheet2!P51,IF(D52="","20%",Sheet2!Q51))</f>
        <v>20%</v>
      </c>
      <c r="L52" s="17"/>
      <c r="M52" s="18">
        <f t="shared" si="3"/>
        <v>0</v>
      </c>
      <c r="N52" s="6">
        <f>+IF(G52&lt;=I52,0,Sheet2!O51)</f>
        <v>2</v>
      </c>
      <c r="O52" s="12">
        <f t="shared" si="4"/>
        <v>0</v>
      </c>
    </row>
    <row r="53" spans="1:15" ht="12">
      <c r="A53" s="13" t="s">
        <v>27</v>
      </c>
      <c r="B53" s="14">
        <f t="shared" si="5"/>
        <v>49</v>
      </c>
      <c r="C53" s="13"/>
      <c r="D53" s="15"/>
      <c r="E53" s="8">
        <v>41061</v>
      </c>
      <c r="F53" s="16"/>
      <c r="G53" s="8">
        <v>41128</v>
      </c>
      <c r="H53" s="16"/>
      <c r="I53" s="10">
        <f>+Sheet2!A52+7</f>
        <v>41097</v>
      </c>
      <c r="J53" s="16"/>
      <c r="K53" s="14" t="str">
        <f>+IF(A53="194c",Sheet2!P52,IF(D53="","20%",Sheet2!Q52))</f>
        <v>20%</v>
      </c>
      <c r="L53" s="17"/>
      <c r="M53" s="18">
        <f t="shared" si="3"/>
        <v>0</v>
      </c>
      <c r="N53" s="6">
        <f>+IF(G53&lt;=I53,0,Sheet2!O52)</f>
        <v>2</v>
      </c>
      <c r="O53" s="12">
        <f t="shared" si="4"/>
        <v>0</v>
      </c>
    </row>
    <row r="54" spans="1:15" ht="12">
      <c r="A54" s="13" t="s">
        <v>27</v>
      </c>
      <c r="B54" s="14">
        <f t="shared" si="5"/>
        <v>50</v>
      </c>
      <c r="C54" s="13"/>
      <c r="D54" s="15"/>
      <c r="E54" s="8">
        <v>41075</v>
      </c>
      <c r="F54" s="16"/>
      <c r="G54" s="8">
        <v>41128</v>
      </c>
      <c r="H54" s="16"/>
      <c r="I54" s="10">
        <f>+Sheet2!A53+7</f>
        <v>41097</v>
      </c>
      <c r="J54" s="16"/>
      <c r="K54" s="14" t="str">
        <f>+IF(A54="194c",Sheet2!P53,IF(D54="","20%",Sheet2!Q53))</f>
        <v>20%</v>
      </c>
      <c r="L54" s="17"/>
      <c r="M54" s="18">
        <f t="shared" si="3"/>
        <v>0</v>
      </c>
      <c r="N54" s="6">
        <f>+IF(G54&lt;=I54,0,Sheet2!O53)</f>
        <v>2</v>
      </c>
      <c r="O54" s="12">
        <f t="shared" si="4"/>
        <v>0</v>
      </c>
    </row>
    <row r="55" spans="1:15" ht="12">
      <c r="A55" s="13" t="s">
        <v>27</v>
      </c>
      <c r="B55" s="14">
        <f t="shared" si="5"/>
        <v>51</v>
      </c>
      <c r="C55" s="13"/>
      <c r="D55" s="15"/>
      <c r="E55" s="8">
        <v>41061</v>
      </c>
      <c r="F55" s="16"/>
      <c r="G55" s="8">
        <v>41128</v>
      </c>
      <c r="H55" s="16"/>
      <c r="I55" s="10">
        <f>+Sheet2!A54+7</f>
        <v>41097</v>
      </c>
      <c r="J55" s="16"/>
      <c r="K55" s="14" t="str">
        <f>+IF(A55="194c",Sheet2!P54,IF(D55="","20%",Sheet2!Q54))</f>
        <v>20%</v>
      </c>
      <c r="L55" s="17"/>
      <c r="M55" s="18">
        <f t="shared" si="3"/>
        <v>0</v>
      </c>
      <c r="N55" s="6">
        <f>+IF(G55&lt;=I55,0,Sheet2!O54)</f>
        <v>2</v>
      </c>
      <c r="O55" s="12">
        <f t="shared" si="4"/>
        <v>0</v>
      </c>
    </row>
    <row r="56" spans="1:15" ht="12">
      <c r="A56" s="13" t="s">
        <v>27</v>
      </c>
      <c r="B56" s="14">
        <f t="shared" si="5"/>
        <v>52</v>
      </c>
      <c r="C56" s="13"/>
      <c r="D56" s="15"/>
      <c r="E56" s="8">
        <v>40909</v>
      </c>
      <c r="F56" s="16"/>
      <c r="G56" s="8">
        <v>41128</v>
      </c>
      <c r="H56" s="16"/>
      <c r="I56" s="10">
        <f>+Sheet2!A55+7</f>
        <v>40946</v>
      </c>
      <c r="J56" s="16"/>
      <c r="K56" s="14" t="str">
        <f>+IF(A56="194c",Sheet2!P55,IF(D56="","20%",Sheet2!Q55))</f>
        <v>20%</v>
      </c>
      <c r="L56" s="17"/>
      <c r="M56" s="18">
        <f t="shared" si="3"/>
        <v>0</v>
      </c>
      <c r="N56" s="6">
        <f>+IF(G56&lt;=I56,0,Sheet2!O55)</f>
        <v>7</v>
      </c>
      <c r="O56" s="12">
        <f t="shared" si="4"/>
        <v>0</v>
      </c>
    </row>
    <row r="57" spans="1:15" ht="12">
      <c r="A57" s="13" t="s">
        <v>27</v>
      </c>
      <c r="B57" s="14">
        <f t="shared" si="5"/>
        <v>53</v>
      </c>
      <c r="C57" s="13"/>
      <c r="D57" s="15"/>
      <c r="E57" s="8">
        <v>41061</v>
      </c>
      <c r="F57" s="16"/>
      <c r="G57" s="8">
        <v>41128</v>
      </c>
      <c r="H57" s="16"/>
      <c r="I57" s="10">
        <f>+Sheet2!A56+7</f>
        <v>41097</v>
      </c>
      <c r="J57" s="16"/>
      <c r="K57" s="14" t="str">
        <f>+IF(A57="194c",Sheet2!P56,IF(D57="","20%",Sheet2!Q56))</f>
        <v>20%</v>
      </c>
      <c r="L57" s="17"/>
      <c r="M57" s="18">
        <f t="shared" si="3"/>
        <v>0</v>
      </c>
      <c r="N57" s="6">
        <f>+IF(G57&lt;=I57,0,Sheet2!O56)</f>
        <v>2</v>
      </c>
      <c r="O57" s="12">
        <f t="shared" si="4"/>
        <v>0</v>
      </c>
    </row>
    <row r="58" spans="1:15" ht="12">
      <c r="A58" s="13" t="s">
        <v>27</v>
      </c>
      <c r="B58" s="14">
        <f t="shared" si="5"/>
        <v>54</v>
      </c>
      <c r="C58" s="13"/>
      <c r="D58" s="15"/>
      <c r="E58" s="8">
        <v>41061</v>
      </c>
      <c r="F58" s="16"/>
      <c r="G58" s="8">
        <v>41128</v>
      </c>
      <c r="H58" s="16"/>
      <c r="I58" s="10">
        <f>+Sheet2!A57+7</f>
        <v>41097</v>
      </c>
      <c r="J58" s="16"/>
      <c r="K58" s="14" t="str">
        <f>+IF(A58="194c",Sheet2!P57,IF(D58="","20%",Sheet2!Q57))</f>
        <v>20%</v>
      </c>
      <c r="L58" s="17"/>
      <c r="M58" s="18">
        <f t="shared" si="3"/>
        <v>0</v>
      </c>
      <c r="N58" s="6">
        <f>+IF(G58&lt;=I58,0,Sheet2!O57)</f>
        <v>2</v>
      </c>
      <c r="O58" s="12">
        <f t="shared" si="4"/>
        <v>0</v>
      </c>
    </row>
    <row r="59" spans="1:15" ht="12">
      <c r="A59" s="13" t="s">
        <v>27</v>
      </c>
      <c r="B59" s="14">
        <f t="shared" si="5"/>
        <v>55</v>
      </c>
      <c r="C59" s="13"/>
      <c r="D59" s="15"/>
      <c r="E59" s="8">
        <v>41061</v>
      </c>
      <c r="F59" s="16"/>
      <c r="G59" s="8">
        <v>41128</v>
      </c>
      <c r="H59" s="16"/>
      <c r="I59" s="10">
        <f>+Sheet2!A58+7</f>
        <v>41097</v>
      </c>
      <c r="J59" s="16"/>
      <c r="K59" s="14" t="str">
        <f>+IF(A59="194c",Sheet2!P58,IF(D59="","20%",Sheet2!Q58))</f>
        <v>20%</v>
      </c>
      <c r="L59" s="17"/>
      <c r="M59" s="18">
        <f t="shared" si="3"/>
        <v>0</v>
      </c>
      <c r="N59" s="6">
        <f>+IF(G59&lt;=I59,0,Sheet2!O58)</f>
        <v>2</v>
      </c>
      <c r="O59" s="12">
        <f t="shared" si="4"/>
        <v>0</v>
      </c>
    </row>
    <row r="60" spans="1:15" ht="12">
      <c r="A60" s="13" t="s">
        <v>27</v>
      </c>
      <c r="B60" s="14">
        <f t="shared" si="5"/>
        <v>56</v>
      </c>
      <c r="C60" s="13"/>
      <c r="D60" s="15"/>
      <c r="E60" s="8">
        <v>41061</v>
      </c>
      <c r="F60" s="16"/>
      <c r="G60" s="8">
        <v>41128</v>
      </c>
      <c r="H60" s="16"/>
      <c r="I60" s="10">
        <f>+Sheet2!A59+7</f>
        <v>41097</v>
      </c>
      <c r="J60" s="16"/>
      <c r="K60" s="14" t="str">
        <f>+IF(A60="194c",Sheet2!P59,IF(D60="","20%",Sheet2!Q59))</f>
        <v>20%</v>
      </c>
      <c r="L60" s="17"/>
      <c r="M60" s="18">
        <f t="shared" si="3"/>
        <v>0</v>
      </c>
      <c r="N60" s="6">
        <f>+IF(G60&lt;=I60,0,Sheet2!O59)</f>
        <v>2</v>
      </c>
      <c r="O60" s="12">
        <f t="shared" si="4"/>
        <v>0</v>
      </c>
    </row>
    <row r="61" spans="1:15" ht="12">
      <c r="A61" s="13" t="s">
        <v>21</v>
      </c>
      <c r="B61" s="14">
        <f t="shared" si="5"/>
        <v>57</v>
      </c>
      <c r="C61" s="13"/>
      <c r="D61" s="15"/>
      <c r="E61" s="8">
        <v>41061</v>
      </c>
      <c r="F61" s="16"/>
      <c r="G61" s="8">
        <v>41128</v>
      </c>
      <c r="H61" s="16"/>
      <c r="I61" s="10">
        <f>+Sheet2!A60+7</f>
        <v>41097</v>
      </c>
      <c r="J61" s="16"/>
      <c r="K61" s="14" t="str">
        <f>+IF(A61="194c",Sheet2!P60,IF(D61="","20%",Sheet2!Q60))</f>
        <v>20%</v>
      </c>
      <c r="L61" s="17"/>
      <c r="M61" s="18">
        <f t="shared" si="3"/>
        <v>0</v>
      </c>
      <c r="N61" s="6">
        <f>+IF(G61&lt;=I61,0,Sheet2!O60)</f>
        <v>2</v>
      </c>
      <c r="O61" s="12">
        <f t="shared" si="4"/>
        <v>0</v>
      </c>
    </row>
    <row r="62" spans="1:15" ht="12">
      <c r="A62" s="13" t="s">
        <v>27</v>
      </c>
      <c r="B62" s="14">
        <f t="shared" si="5"/>
        <v>58</v>
      </c>
      <c r="C62" s="13"/>
      <c r="D62" s="15"/>
      <c r="E62" s="8">
        <v>41061</v>
      </c>
      <c r="F62" s="16"/>
      <c r="G62" s="8">
        <v>41128</v>
      </c>
      <c r="H62" s="16"/>
      <c r="I62" s="10">
        <f>+Sheet2!A61+7</f>
        <v>41097</v>
      </c>
      <c r="J62" s="16"/>
      <c r="K62" s="14" t="str">
        <f>+IF(A62="194c",Sheet2!P61,IF(D62="","20%",Sheet2!Q61))</f>
        <v>20%</v>
      </c>
      <c r="L62" s="17"/>
      <c r="M62" s="18">
        <f t="shared" si="3"/>
        <v>0</v>
      </c>
      <c r="N62" s="6">
        <f>+IF(G62&lt;=I62,0,Sheet2!O61)</f>
        <v>2</v>
      </c>
      <c r="O62" s="12">
        <f t="shared" si="4"/>
        <v>0</v>
      </c>
    </row>
    <row r="63" spans="1:15" ht="12">
      <c r="A63" s="13" t="s">
        <v>27</v>
      </c>
      <c r="B63" s="14">
        <f t="shared" si="5"/>
        <v>59</v>
      </c>
      <c r="C63" s="13"/>
      <c r="D63" s="15"/>
      <c r="E63" s="8">
        <v>41061</v>
      </c>
      <c r="F63" s="16"/>
      <c r="G63" s="8">
        <v>41128</v>
      </c>
      <c r="H63" s="16"/>
      <c r="I63" s="10">
        <f>+Sheet2!A62+7</f>
        <v>41097</v>
      </c>
      <c r="J63" s="16"/>
      <c r="K63" s="14" t="str">
        <f>+IF(A63="194c",Sheet2!P62,IF(D63="","20%",Sheet2!Q62))</f>
        <v>20%</v>
      </c>
      <c r="L63" s="17"/>
      <c r="M63" s="18">
        <f t="shared" si="3"/>
        <v>0</v>
      </c>
      <c r="N63" s="6">
        <f>+IF(G63&lt;=I63,0,Sheet2!O62)</f>
        <v>2</v>
      </c>
      <c r="O63" s="12">
        <f t="shared" si="4"/>
        <v>0</v>
      </c>
    </row>
    <row r="64" spans="1:15" ht="12">
      <c r="A64" s="13" t="s">
        <v>27</v>
      </c>
      <c r="B64" s="14">
        <f t="shared" si="5"/>
        <v>60</v>
      </c>
      <c r="C64" s="13"/>
      <c r="D64" s="15"/>
      <c r="E64" s="8">
        <v>41061</v>
      </c>
      <c r="F64" s="16"/>
      <c r="G64" s="8">
        <v>41128</v>
      </c>
      <c r="H64" s="16"/>
      <c r="I64" s="10">
        <f>+Sheet2!A63+7</f>
        <v>41097</v>
      </c>
      <c r="J64" s="16"/>
      <c r="K64" s="14" t="str">
        <f>+IF(A64="194c",Sheet2!P63,IF(D64="","20%",Sheet2!Q63))</f>
        <v>20%</v>
      </c>
      <c r="L64" s="17"/>
      <c r="M64" s="18">
        <f t="shared" si="3"/>
        <v>0</v>
      </c>
      <c r="N64" s="6">
        <f>+IF(G64&lt;=I64,0,Sheet2!O63)</f>
        <v>2</v>
      </c>
      <c r="O64" s="12">
        <f t="shared" si="4"/>
        <v>0</v>
      </c>
    </row>
    <row r="65" spans="1:15" ht="12">
      <c r="A65" s="13" t="s">
        <v>21</v>
      </c>
      <c r="B65" s="14">
        <f t="shared" si="5"/>
        <v>61</v>
      </c>
      <c r="C65" s="13"/>
      <c r="D65" s="15"/>
      <c r="E65" s="8">
        <v>41061</v>
      </c>
      <c r="F65" s="16"/>
      <c r="G65" s="8">
        <v>41128</v>
      </c>
      <c r="H65" s="16"/>
      <c r="I65" s="10">
        <f>+Sheet2!A64+7</f>
        <v>41097</v>
      </c>
      <c r="J65" s="16"/>
      <c r="K65" s="14" t="str">
        <f>+IF(A65="194c",Sheet2!P64,IF(D65="","20%",Sheet2!Q64))</f>
        <v>20%</v>
      </c>
      <c r="L65" s="17"/>
      <c r="M65" s="18">
        <f t="shared" si="3"/>
        <v>0</v>
      </c>
      <c r="N65" s="6">
        <f>+IF(G65&lt;=I65,0,Sheet2!O64)</f>
        <v>2</v>
      </c>
      <c r="O65" s="12">
        <f t="shared" si="4"/>
        <v>0</v>
      </c>
    </row>
    <row r="66" spans="1:15" ht="12">
      <c r="A66" s="13" t="s">
        <v>27</v>
      </c>
      <c r="B66" s="14">
        <f t="shared" si="5"/>
        <v>62</v>
      </c>
      <c r="C66" s="13"/>
      <c r="D66" s="15"/>
      <c r="E66" s="8">
        <v>41061</v>
      </c>
      <c r="F66" s="16"/>
      <c r="G66" s="8">
        <v>41128</v>
      </c>
      <c r="H66" s="16"/>
      <c r="I66" s="10">
        <f>+Sheet2!A65+7</f>
        <v>41097</v>
      </c>
      <c r="J66" s="16"/>
      <c r="K66" s="14" t="str">
        <f>+IF(A66="194c",Sheet2!P65,IF(D66="","20%",Sheet2!Q65))</f>
        <v>20%</v>
      </c>
      <c r="L66" s="17"/>
      <c r="M66" s="18">
        <f t="shared" si="3"/>
        <v>0</v>
      </c>
      <c r="N66" s="6">
        <f>+IF(G66&lt;=I66,0,Sheet2!O65)</f>
        <v>2</v>
      </c>
      <c r="O66" s="12">
        <f t="shared" si="4"/>
        <v>0</v>
      </c>
    </row>
    <row r="67" spans="1:15" ht="12">
      <c r="A67" s="13" t="s">
        <v>27</v>
      </c>
      <c r="B67" s="14">
        <f t="shared" si="5"/>
        <v>63</v>
      </c>
      <c r="C67" s="13"/>
      <c r="D67" s="15"/>
      <c r="E67" s="8">
        <v>41061</v>
      </c>
      <c r="F67" s="16"/>
      <c r="G67" s="8">
        <v>41128</v>
      </c>
      <c r="H67" s="16"/>
      <c r="I67" s="10">
        <f>+Sheet2!A66+7</f>
        <v>41097</v>
      </c>
      <c r="J67" s="16"/>
      <c r="K67" s="14" t="str">
        <f>+IF(A67="194c",Sheet2!P66,IF(D67="","20%",Sheet2!Q66))</f>
        <v>20%</v>
      </c>
      <c r="L67" s="17"/>
      <c r="M67" s="18">
        <f t="shared" si="3"/>
        <v>0</v>
      </c>
      <c r="N67" s="6">
        <f>+IF(G67&lt;=I67,0,Sheet2!O66)</f>
        <v>2</v>
      </c>
      <c r="O67" s="12">
        <f t="shared" si="4"/>
        <v>0</v>
      </c>
    </row>
    <row r="68" spans="1:15" ht="12">
      <c r="A68" s="13" t="s">
        <v>27</v>
      </c>
      <c r="B68" s="14">
        <f t="shared" si="5"/>
        <v>64</v>
      </c>
      <c r="C68" s="13"/>
      <c r="D68" s="15"/>
      <c r="E68" s="8">
        <v>41061</v>
      </c>
      <c r="F68" s="16"/>
      <c r="G68" s="8">
        <v>41128</v>
      </c>
      <c r="H68" s="16"/>
      <c r="I68" s="10">
        <f>+Sheet2!A67+7</f>
        <v>41097</v>
      </c>
      <c r="J68" s="16"/>
      <c r="K68" s="14" t="str">
        <f>+IF(A68="194c",Sheet2!P67,IF(D68="","20%",Sheet2!Q67))</f>
        <v>20%</v>
      </c>
      <c r="L68" s="17"/>
      <c r="M68" s="18">
        <f t="shared" si="3"/>
        <v>0</v>
      </c>
      <c r="N68" s="6">
        <f>+IF(G68&lt;=I68,0,Sheet2!O67)</f>
        <v>2</v>
      </c>
      <c r="O68" s="12">
        <f t="shared" si="4"/>
        <v>0</v>
      </c>
    </row>
    <row r="69" spans="1:15" ht="12">
      <c r="A69" s="13" t="s">
        <v>27</v>
      </c>
      <c r="B69" s="14">
        <f t="shared" si="5"/>
        <v>65</v>
      </c>
      <c r="C69" s="13"/>
      <c r="D69" s="15"/>
      <c r="E69" s="8">
        <v>41061</v>
      </c>
      <c r="F69" s="16"/>
      <c r="G69" s="8">
        <v>41128</v>
      </c>
      <c r="H69" s="16"/>
      <c r="I69" s="10">
        <f>+Sheet2!A68+7</f>
        <v>41097</v>
      </c>
      <c r="J69" s="16"/>
      <c r="K69" s="14" t="str">
        <f>+IF(A69="194c",Sheet2!P68,IF(D69="","20%",Sheet2!Q68))</f>
        <v>20%</v>
      </c>
      <c r="L69" s="17"/>
      <c r="M69" s="18">
        <f>+ROUND(L69*K69,0)</f>
        <v>0</v>
      </c>
      <c r="N69" s="6">
        <f>+IF(G69&lt;=I69,0,Sheet2!O68)</f>
        <v>2</v>
      </c>
      <c r="O69" s="12">
        <f>+ROUND((M69*N69)*1.5%,0)</f>
        <v>0</v>
      </c>
    </row>
    <row r="70" spans="1:15" ht="12">
      <c r="A70" s="13" t="s">
        <v>27</v>
      </c>
      <c r="B70" s="14">
        <f t="shared" si="5"/>
        <v>66</v>
      </c>
      <c r="C70" s="13"/>
      <c r="D70" s="15"/>
      <c r="E70" s="8">
        <v>41061</v>
      </c>
      <c r="F70" s="16"/>
      <c r="G70" s="8">
        <v>41128</v>
      </c>
      <c r="H70" s="16"/>
      <c r="I70" s="10">
        <f>+Sheet2!A69+7</f>
        <v>41097</v>
      </c>
      <c r="J70" s="16"/>
      <c r="K70" s="14" t="str">
        <f>+IF(A70="194c",Sheet2!P69,IF(D70="","20%",Sheet2!Q69))</f>
        <v>20%</v>
      </c>
      <c r="L70" s="17"/>
      <c r="M70" s="18">
        <f>+ROUND(L70*K70,0)</f>
        <v>0</v>
      </c>
      <c r="N70" s="6">
        <f>+IF(G70&lt;=I70,0,Sheet2!O69)</f>
        <v>2</v>
      </c>
      <c r="O70" s="12">
        <f>+ROUND((M70*N70)*1.5%,0)</f>
        <v>0</v>
      </c>
    </row>
    <row r="71" spans="1:15" s="21" customFormat="1" ht="19.5" customHeight="1" hidden="1" thickBot="1">
      <c r="A71" s="19"/>
      <c r="B71" s="19"/>
      <c r="C71" s="19"/>
      <c r="D71" s="19"/>
      <c r="E71" s="20"/>
      <c r="F71" s="20"/>
      <c r="G71" s="20"/>
      <c r="H71" s="19"/>
      <c r="I71" s="19"/>
      <c r="J71" s="19"/>
      <c r="K71" s="19"/>
      <c r="L71" s="19">
        <f>SUBTOTAL(9,L5:L70)</f>
        <v>0</v>
      </c>
      <c r="M71" s="19">
        <f>SUBTOTAL(9,M5:M70)</f>
        <v>0</v>
      </c>
      <c r="N71" s="19"/>
      <c r="O71" s="19">
        <f>SUBTOTAL(9,O5:O70)</f>
        <v>0</v>
      </c>
    </row>
    <row r="73" spans="3:4" ht="15">
      <c r="C73" s="1" t="s">
        <v>54</v>
      </c>
      <c r="D73" s="68" t="s">
        <v>55</v>
      </c>
    </row>
  </sheetData>
  <sheetProtection sheet="1" objects="1" scenarios="1" selectLockedCells="1"/>
  <mergeCells count="14">
    <mergeCell ref="N3:O4"/>
    <mergeCell ref="E3:E4"/>
    <mergeCell ref="G3:G4"/>
    <mergeCell ref="I3:I4"/>
    <mergeCell ref="J3:J4"/>
    <mergeCell ref="H3:H4"/>
    <mergeCell ref="F3:F4"/>
    <mergeCell ref="L3:L4"/>
    <mergeCell ref="M3:M4"/>
    <mergeCell ref="A3:A4"/>
    <mergeCell ref="B3:B4"/>
    <mergeCell ref="C3:C4"/>
    <mergeCell ref="D3:D4"/>
    <mergeCell ref="K3:K4"/>
  </mergeCells>
  <dataValidations count="3">
    <dataValidation type="textLength" operator="equal" allowBlank="1" showInputMessage="1" showErrorMessage="1" promptTitle="TRUE PAN" prompt="INSERTING CORRECT PAN IS ENTIRE RESPONSIBILTY OF WORKSHEET USER." sqref="D5:D70">
      <formula1>10</formula1>
    </dataValidation>
    <dataValidation type="list" allowBlank="1" showInputMessage="1" showErrorMessage="1" sqref="A5:A70">
      <formula1>"194A,194C,194D,194H,194I Rent,194I Building, 194 J"</formula1>
    </dataValidation>
    <dataValidation type="date" operator="greaterThan" allowBlank="1" showInputMessage="1" showErrorMessage="1" sqref="E5:E70 G5:G70">
      <formula1>40547</formula1>
    </dataValidation>
  </dataValidations>
  <hyperlinks>
    <hyperlink ref="D73" r:id="rId1" display="www.taxguru.in "/>
  </hyperlinks>
  <printOptions horizontalCentered="1"/>
  <pageMargins left="0.25" right="0.25" top="0.5" bottom="0.5" header="0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="130" zoomScaleNormal="130" zoomScalePageLayoutView="0" workbookViewId="0" topLeftCell="A1">
      <selection activeCell="C78" sqref="C78"/>
    </sheetView>
  </sheetViews>
  <sheetFormatPr defaultColWidth="9.140625" defaultRowHeight="15"/>
  <cols>
    <col min="1" max="1" width="6.8515625" style="1" customWidth="1"/>
    <col min="2" max="2" width="12.57421875" style="1" bestFit="1" customWidth="1"/>
    <col min="3" max="3" width="26.28125" style="1" customWidth="1"/>
    <col min="4" max="4" width="13.28125" style="1" customWidth="1"/>
    <col min="5" max="5" width="11.00390625" style="1" customWidth="1"/>
    <col min="6" max="6" width="7.8515625" style="1" bestFit="1" customWidth="1"/>
    <col min="7" max="16384" width="9.140625" style="1" customWidth="1"/>
  </cols>
  <sheetData>
    <row r="1" ht="12">
      <c r="A1" s="22" t="s">
        <v>42</v>
      </c>
    </row>
    <row r="2" ht="12">
      <c r="A2" s="22"/>
    </row>
    <row r="3" spans="1:6" s="24" customFormat="1" ht="24">
      <c r="A3" s="23" t="s">
        <v>29</v>
      </c>
      <c r="B3" s="3" t="s">
        <v>43</v>
      </c>
      <c r="C3" s="23" t="s">
        <v>38</v>
      </c>
      <c r="D3" s="23" t="s">
        <v>30</v>
      </c>
      <c r="E3" s="23" t="s">
        <v>41</v>
      </c>
      <c r="F3" s="3" t="s">
        <v>45</v>
      </c>
    </row>
    <row r="4" spans="1:6" s="29" customFormat="1" ht="12">
      <c r="A4" s="25">
        <f>+'TDS data input sheet'!B5</f>
        <v>1</v>
      </c>
      <c r="B4" s="26" t="str">
        <f>+'TDS data input sheet'!A5</f>
        <v>194C</v>
      </c>
      <c r="C4" s="27">
        <f>+'TDS data input sheet'!C5</f>
        <v>0</v>
      </c>
      <c r="D4" s="27">
        <f>+'TDS data input sheet'!D5</f>
        <v>0</v>
      </c>
      <c r="E4" s="28">
        <f>+'TDS data input sheet'!M5</f>
        <v>0</v>
      </c>
      <c r="F4" s="28">
        <f>+'TDS data input sheet'!O5</f>
        <v>0</v>
      </c>
    </row>
    <row r="5" spans="1:6" s="29" customFormat="1" ht="12">
      <c r="A5" s="25">
        <f>+'TDS data input sheet'!B6</f>
        <v>2</v>
      </c>
      <c r="B5" s="26" t="str">
        <f>+'TDS data input sheet'!A6</f>
        <v>194C</v>
      </c>
      <c r="C5" s="27">
        <f>+'TDS data input sheet'!C6</f>
        <v>0</v>
      </c>
      <c r="D5" s="27">
        <f>+'TDS data input sheet'!D6</f>
        <v>0</v>
      </c>
      <c r="E5" s="28">
        <f>+'TDS data input sheet'!M6</f>
        <v>0</v>
      </c>
      <c r="F5" s="28">
        <f>+'TDS data input sheet'!O6</f>
        <v>0</v>
      </c>
    </row>
    <row r="6" spans="1:6" s="29" customFormat="1" ht="12">
      <c r="A6" s="25">
        <f>+'TDS data input sheet'!B7</f>
        <v>3</v>
      </c>
      <c r="B6" s="26" t="str">
        <f>+'TDS data input sheet'!A7</f>
        <v>194C</v>
      </c>
      <c r="C6" s="27">
        <f>+'TDS data input sheet'!C7</f>
        <v>0</v>
      </c>
      <c r="D6" s="27">
        <f>+'TDS data input sheet'!D7</f>
        <v>0</v>
      </c>
      <c r="E6" s="28">
        <f>+'TDS data input sheet'!M7</f>
        <v>0</v>
      </c>
      <c r="F6" s="28">
        <f>+'TDS data input sheet'!O7</f>
        <v>0</v>
      </c>
    </row>
    <row r="7" spans="1:6" ht="12">
      <c r="A7" s="25">
        <f>+'TDS data input sheet'!B8</f>
        <v>4</v>
      </c>
      <c r="B7" s="26" t="str">
        <f>+'TDS data input sheet'!A8</f>
        <v>194D</v>
      </c>
      <c r="C7" s="27">
        <f>+'TDS data input sheet'!C8</f>
        <v>0</v>
      </c>
      <c r="D7" s="27">
        <f>+'TDS data input sheet'!D8</f>
        <v>0</v>
      </c>
      <c r="E7" s="28">
        <f>+'TDS data input sheet'!M8</f>
        <v>0</v>
      </c>
      <c r="F7" s="28">
        <f>+'TDS data input sheet'!O8</f>
        <v>0</v>
      </c>
    </row>
    <row r="8" spans="1:6" s="29" customFormat="1" ht="12">
      <c r="A8" s="25">
        <f>+'TDS data input sheet'!B9</f>
        <v>5</v>
      </c>
      <c r="B8" s="26" t="str">
        <f>+'TDS data input sheet'!A9</f>
        <v>194H</v>
      </c>
      <c r="C8" s="27">
        <f>+'TDS data input sheet'!C9</f>
        <v>0</v>
      </c>
      <c r="D8" s="27">
        <f>+'TDS data input sheet'!D9</f>
        <v>0</v>
      </c>
      <c r="E8" s="28">
        <f>+'TDS data input sheet'!M9</f>
        <v>0</v>
      </c>
      <c r="F8" s="28">
        <f>+'TDS data input sheet'!O9</f>
        <v>0</v>
      </c>
    </row>
    <row r="9" spans="1:6" s="29" customFormat="1" ht="12">
      <c r="A9" s="25">
        <f>+'TDS data input sheet'!B10</f>
        <v>6</v>
      </c>
      <c r="B9" s="26" t="str">
        <f>+'TDS data input sheet'!A10</f>
        <v>194I RENT</v>
      </c>
      <c r="C9" s="27">
        <f>+'TDS data input sheet'!C10</f>
        <v>0</v>
      </c>
      <c r="D9" s="27">
        <f>+'TDS data input sheet'!D10</f>
        <v>0</v>
      </c>
      <c r="E9" s="28">
        <f>+'TDS data input sheet'!M10</f>
        <v>0</v>
      </c>
      <c r="F9" s="28">
        <f>+'TDS data input sheet'!O10</f>
        <v>0</v>
      </c>
    </row>
    <row r="10" spans="1:6" ht="12">
      <c r="A10" s="25">
        <f>+'TDS data input sheet'!B11</f>
        <v>7</v>
      </c>
      <c r="B10" s="26" t="str">
        <f>+'TDS data input sheet'!A11</f>
        <v>194D</v>
      </c>
      <c r="C10" s="27">
        <f>+'TDS data input sheet'!C11</f>
        <v>0</v>
      </c>
      <c r="D10" s="27">
        <f>+'TDS data input sheet'!D11</f>
        <v>0</v>
      </c>
      <c r="E10" s="28">
        <f>+'TDS data input sheet'!M11</f>
        <v>0</v>
      </c>
      <c r="F10" s="28">
        <f>+'TDS data input sheet'!O11</f>
        <v>0</v>
      </c>
    </row>
    <row r="11" spans="1:6" s="29" customFormat="1" ht="12">
      <c r="A11" s="25">
        <f>+'TDS data input sheet'!B12</f>
        <v>8</v>
      </c>
      <c r="B11" s="26" t="str">
        <f>+'TDS data input sheet'!A12</f>
        <v>194C</v>
      </c>
      <c r="C11" s="27">
        <f>+'TDS data input sheet'!C12</f>
        <v>0</v>
      </c>
      <c r="D11" s="27">
        <f>+'TDS data input sheet'!D12</f>
        <v>0</v>
      </c>
      <c r="E11" s="28">
        <f>+'TDS data input sheet'!M12</f>
        <v>0</v>
      </c>
      <c r="F11" s="28">
        <f>+'TDS data input sheet'!O12</f>
        <v>0</v>
      </c>
    </row>
    <row r="12" spans="1:6" s="29" customFormat="1" ht="12">
      <c r="A12" s="25">
        <f>+'TDS data input sheet'!B13</f>
        <v>9</v>
      </c>
      <c r="B12" s="26" t="str">
        <f>+'TDS data input sheet'!A13</f>
        <v>194 J</v>
      </c>
      <c r="C12" s="27">
        <f>+'TDS data input sheet'!C13</f>
        <v>0</v>
      </c>
      <c r="D12" s="27">
        <f>+'TDS data input sheet'!D13</f>
        <v>0</v>
      </c>
      <c r="E12" s="28">
        <f>+'TDS data input sheet'!M13</f>
        <v>0</v>
      </c>
      <c r="F12" s="28">
        <f>+'TDS data input sheet'!O13</f>
        <v>0</v>
      </c>
    </row>
    <row r="13" spans="1:6" s="29" customFormat="1" ht="12">
      <c r="A13" s="25">
        <f>+'TDS data input sheet'!B14</f>
        <v>10</v>
      </c>
      <c r="B13" s="26" t="str">
        <f>+'TDS data input sheet'!A14</f>
        <v>194C</v>
      </c>
      <c r="C13" s="27">
        <f>+'TDS data input sheet'!C14</f>
        <v>0</v>
      </c>
      <c r="D13" s="27">
        <f>+'TDS data input sheet'!D14</f>
        <v>0</v>
      </c>
      <c r="E13" s="28">
        <f>+'TDS data input sheet'!M14</f>
        <v>0</v>
      </c>
      <c r="F13" s="28">
        <f>+'TDS data input sheet'!O14</f>
        <v>0</v>
      </c>
    </row>
    <row r="14" spans="1:6" s="29" customFormat="1" ht="12">
      <c r="A14" s="25">
        <f>+'TDS data input sheet'!B15</f>
        <v>11</v>
      </c>
      <c r="B14" s="26" t="str">
        <f>+'TDS data input sheet'!A15</f>
        <v>194 J</v>
      </c>
      <c r="C14" s="27">
        <f>+'TDS data input sheet'!C15</f>
        <v>0</v>
      </c>
      <c r="D14" s="27">
        <f>+'TDS data input sheet'!D15</f>
        <v>0</v>
      </c>
      <c r="E14" s="28">
        <f>+'TDS data input sheet'!M15</f>
        <v>0</v>
      </c>
      <c r="F14" s="28">
        <f>+'TDS data input sheet'!O15</f>
        <v>0</v>
      </c>
    </row>
    <row r="15" spans="1:6" s="29" customFormat="1" ht="12">
      <c r="A15" s="25">
        <f>+'TDS data input sheet'!B16</f>
        <v>12</v>
      </c>
      <c r="B15" s="26" t="str">
        <f>+'TDS data input sheet'!A16</f>
        <v>194 J</v>
      </c>
      <c r="C15" s="27">
        <f>+'TDS data input sheet'!C16</f>
        <v>0</v>
      </c>
      <c r="D15" s="27">
        <f>+'TDS data input sheet'!D16</f>
        <v>0</v>
      </c>
      <c r="E15" s="28">
        <f>+'TDS data input sheet'!M16</f>
        <v>0</v>
      </c>
      <c r="F15" s="28">
        <f>+'TDS data input sheet'!O16</f>
        <v>0</v>
      </c>
    </row>
    <row r="16" spans="1:6" s="29" customFormat="1" ht="12">
      <c r="A16" s="25">
        <f>+'TDS data input sheet'!B17</f>
        <v>13</v>
      </c>
      <c r="B16" s="26" t="str">
        <f>+'TDS data input sheet'!A17</f>
        <v>194 J</v>
      </c>
      <c r="C16" s="27">
        <f>+'TDS data input sheet'!C17</f>
        <v>0</v>
      </c>
      <c r="D16" s="27">
        <f>+'TDS data input sheet'!D17</f>
        <v>0</v>
      </c>
      <c r="E16" s="28">
        <f>+'TDS data input sheet'!M17</f>
        <v>0</v>
      </c>
      <c r="F16" s="28">
        <f>+'TDS data input sheet'!O17</f>
        <v>0</v>
      </c>
    </row>
    <row r="17" spans="1:6" s="29" customFormat="1" ht="12">
      <c r="A17" s="25">
        <f>+'TDS data input sheet'!B18</f>
        <v>14</v>
      </c>
      <c r="B17" s="26" t="str">
        <f>+'TDS data input sheet'!A18</f>
        <v>194 J</v>
      </c>
      <c r="C17" s="27">
        <f>+'TDS data input sheet'!C18</f>
        <v>0</v>
      </c>
      <c r="D17" s="27">
        <f>+'TDS data input sheet'!D18</f>
        <v>0</v>
      </c>
      <c r="E17" s="28">
        <f>+'TDS data input sheet'!M18</f>
        <v>0</v>
      </c>
      <c r="F17" s="28">
        <f>+'TDS data input sheet'!O18</f>
        <v>0</v>
      </c>
    </row>
    <row r="18" spans="1:6" s="29" customFormat="1" ht="12">
      <c r="A18" s="25">
        <f>+'TDS data input sheet'!B19</f>
        <v>15</v>
      </c>
      <c r="B18" s="26" t="str">
        <f>+'TDS data input sheet'!A19</f>
        <v>194 J</v>
      </c>
      <c r="C18" s="27">
        <f>+'TDS data input sheet'!C19</f>
        <v>0</v>
      </c>
      <c r="D18" s="27">
        <f>+'TDS data input sheet'!D19</f>
        <v>0</v>
      </c>
      <c r="E18" s="28">
        <f>+'TDS data input sheet'!M19</f>
        <v>0</v>
      </c>
      <c r="F18" s="28">
        <f>+'TDS data input sheet'!O19</f>
        <v>0</v>
      </c>
    </row>
    <row r="19" spans="1:6" s="29" customFormat="1" ht="12">
      <c r="A19" s="25">
        <f>+'TDS data input sheet'!B20</f>
        <v>16</v>
      </c>
      <c r="B19" s="26" t="str">
        <f>+'TDS data input sheet'!A20</f>
        <v>194 J</v>
      </c>
      <c r="C19" s="27">
        <f>+'TDS data input sheet'!C20</f>
        <v>0</v>
      </c>
      <c r="D19" s="27">
        <f>+'TDS data input sheet'!D20</f>
        <v>0</v>
      </c>
      <c r="E19" s="28">
        <f>+'TDS data input sheet'!M20</f>
        <v>0</v>
      </c>
      <c r="F19" s="28">
        <f>+'TDS data input sheet'!O20</f>
        <v>0</v>
      </c>
    </row>
    <row r="20" spans="1:6" s="29" customFormat="1" ht="12">
      <c r="A20" s="25">
        <f>+'TDS data input sheet'!B21</f>
        <v>17</v>
      </c>
      <c r="B20" s="26" t="str">
        <f>+'TDS data input sheet'!A21</f>
        <v>194 J</v>
      </c>
      <c r="C20" s="27">
        <f>+'TDS data input sheet'!C21</f>
        <v>0</v>
      </c>
      <c r="D20" s="27">
        <f>+'TDS data input sheet'!D21</f>
        <v>0</v>
      </c>
      <c r="E20" s="28">
        <f>+'TDS data input sheet'!M21</f>
        <v>0</v>
      </c>
      <c r="F20" s="28">
        <f>+'TDS data input sheet'!O21</f>
        <v>0</v>
      </c>
    </row>
    <row r="21" spans="1:6" s="29" customFormat="1" ht="12">
      <c r="A21" s="25">
        <f>+'TDS data input sheet'!B22</f>
        <v>18</v>
      </c>
      <c r="B21" s="26" t="str">
        <f>+'TDS data input sheet'!A22</f>
        <v>194 J</v>
      </c>
      <c r="C21" s="27">
        <f>+'TDS data input sheet'!C22</f>
        <v>0</v>
      </c>
      <c r="D21" s="27">
        <f>+'TDS data input sheet'!D22</f>
        <v>0</v>
      </c>
      <c r="E21" s="28">
        <f>+'TDS data input sheet'!M22</f>
        <v>0</v>
      </c>
      <c r="F21" s="28">
        <f>+'TDS data input sheet'!O22</f>
        <v>0</v>
      </c>
    </row>
    <row r="22" spans="1:6" s="29" customFormat="1" ht="12">
      <c r="A22" s="25">
        <f>+'TDS data input sheet'!B23</f>
        <v>19</v>
      </c>
      <c r="B22" s="26" t="str">
        <f>+'TDS data input sheet'!A23</f>
        <v>194 J</v>
      </c>
      <c r="C22" s="27">
        <f>+'TDS data input sheet'!C23</f>
        <v>0</v>
      </c>
      <c r="D22" s="27">
        <f>+'TDS data input sheet'!D23</f>
        <v>0</v>
      </c>
      <c r="E22" s="28">
        <f>+'TDS data input sheet'!M23</f>
        <v>0</v>
      </c>
      <c r="F22" s="28">
        <f>+'TDS data input sheet'!O23</f>
        <v>0</v>
      </c>
    </row>
    <row r="23" spans="1:6" s="29" customFormat="1" ht="12">
      <c r="A23" s="25">
        <f>+'TDS data input sheet'!B24</f>
        <v>20</v>
      </c>
      <c r="B23" s="26" t="str">
        <f>+'TDS data input sheet'!A24</f>
        <v>194 J</v>
      </c>
      <c r="C23" s="27">
        <f>+'TDS data input sheet'!C24</f>
        <v>0</v>
      </c>
      <c r="D23" s="27">
        <f>+'TDS data input sheet'!D24</f>
        <v>0</v>
      </c>
      <c r="E23" s="28">
        <f>+'TDS data input sheet'!M24</f>
        <v>0</v>
      </c>
      <c r="F23" s="28">
        <f>+'TDS data input sheet'!O24</f>
        <v>0</v>
      </c>
    </row>
    <row r="24" spans="1:6" s="29" customFormat="1" ht="12">
      <c r="A24" s="25">
        <f>+'TDS data input sheet'!B25</f>
        <v>21</v>
      </c>
      <c r="B24" s="26" t="str">
        <f>+'TDS data input sheet'!A25</f>
        <v>194 J</v>
      </c>
      <c r="C24" s="27">
        <f>+'TDS data input sheet'!C25</f>
        <v>0</v>
      </c>
      <c r="D24" s="27">
        <f>+'TDS data input sheet'!D25</f>
        <v>0</v>
      </c>
      <c r="E24" s="28">
        <f>+'TDS data input sheet'!M25</f>
        <v>0</v>
      </c>
      <c r="F24" s="28">
        <f>+'TDS data input sheet'!O25</f>
        <v>0</v>
      </c>
    </row>
    <row r="25" spans="1:6" s="29" customFormat="1" ht="12">
      <c r="A25" s="25">
        <f>+'TDS data input sheet'!B26</f>
        <v>22</v>
      </c>
      <c r="B25" s="26" t="str">
        <f>+'TDS data input sheet'!A26</f>
        <v>194 J</v>
      </c>
      <c r="C25" s="27">
        <f>+'TDS data input sheet'!C26</f>
        <v>0</v>
      </c>
      <c r="D25" s="27">
        <f>+'TDS data input sheet'!D26</f>
        <v>0</v>
      </c>
      <c r="E25" s="28">
        <f>+'TDS data input sheet'!M26</f>
        <v>0</v>
      </c>
      <c r="F25" s="28">
        <f>+'TDS data input sheet'!O26</f>
        <v>0</v>
      </c>
    </row>
    <row r="26" spans="1:6" s="29" customFormat="1" ht="12">
      <c r="A26" s="25">
        <f>+'TDS data input sheet'!B27</f>
        <v>23</v>
      </c>
      <c r="B26" s="26" t="str">
        <f>+'TDS data input sheet'!A27</f>
        <v>194 J</v>
      </c>
      <c r="C26" s="27">
        <f>+'TDS data input sheet'!C27</f>
        <v>0</v>
      </c>
      <c r="D26" s="27">
        <f>+'TDS data input sheet'!D27</f>
        <v>0</v>
      </c>
      <c r="E26" s="28">
        <f>+'TDS data input sheet'!M27</f>
        <v>0</v>
      </c>
      <c r="F26" s="28">
        <f>+'TDS data input sheet'!O27</f>
        <v>0</v>
      </c>
    </row>
    <row r="27" spans="1:6" s="29" customFormat="1" ht="12">
      <c r="A27" s="25">
        <f>+'TDS data input sheet'!B28</f>
        <v>24</v>
      </c>
      <c r="B27" s="26" t="str">
        <f>+'TDS data input sheet'!A28</f>
        <v>194 J</v>
      </c>
      <c r="C27" s="27">
        <f>+'TDS data input sheet'!C28</f>
        <v>0</v>
      </c>
      <c r="D27" s="27">
        <f>+'TDS data input sheet'!D28</f>
        <v>0</v>
      </c>
      <c r="E27" s="28">
        <f>+'TDS data input sheet'!M28</f>
        <v>0</v>
      </c>
      <c r="F27" s="28">
        <f>+'TDS data input sheet'!O28</f>
        <v>0</v>
      </c>
    </row>
    <row r="28" spans="1:6" s="29" customFormat="1" ht="12">
      <c r="A28" s="25">
        <f>+'TDS data input sheet'!B29</f>
        <v>25</v>
      </c>
      <c r="B28" s="26" t="str">
        <f>+'TDS data input sheet'!A29</f>
        <v>194 J</v>
      </c>
      <c r="C28" s="27">
        <f>+'TDS data input sheet'!C29</f>
        <v>0</v>
      </c>
      <c r="D28" s="27">
        <f>+'TDS data input sheet'!D29</f>
        <v>0</v>
      </c>
      <c r="E28" s="28">
        <f>+'TDS data input sheet'!M29</f>
        <v>0</v>
      </c>
      <c r="F28" s="28">
        <f>+'TDS data input sheet'!O29</f>
        <v>0</v>
      </c>
    </row>
    <row r="29" spans="1:6" s="29" customFormat="1" ht="12">
      <c r="A29" s="25">
        <f>+'TDS data input sheet'!B30</f>
        <v>26</v>
      </c>
      <c r="B29" s="26" t="str">
        <f>+'TDS data input sheet'!A30</f>
        <v>194 J</v>
      </c>
      <c r="C29" s="27">
        <f>+'TDS data input sheet'!C30</f>
        <v>0</v>
      </c>
      <c r="D29" s="27">
        <f>+'TDS data input sheet'!D30</f>
        <v>0</v>
      </c>
      <c r="E29" s="28">
        <f>+'TDS data input sheet'!M30</f>
        <v>0</v>
      </c>
      <c r="F29" s="28">
        <f>+'TDS data input sheet'!O30</f>
        <v>0</v>
      </c>
    </row>
    <row r="30" spans="1:6" s="29" customFormat="1" ht="12">
      <c r="A30" s="25">
        <f>+'TDS data input sheet'!B31</f>
        <v>27</v>
      </c>
      <c r="B30" s="26" t="str">
        <f>+'TDS data input sheet'!A31</f>
        <v>194 J</v>
      </c>
      <c r="C30" s="27">
        <f>+'TDS data input sheet'!C31</f>
        <v>0</v>
      </c>
      <c r="D30" s="27">
        <f>+'TDS data input sheet'!D31</f>
        <v>0</v>
      </c>
      <c r="E30" s="28">
        <f>+'TDS data input sheet'!M31</f>
        <v>0</v>
      </c>
      <c r="F30" s="28">
        <f>+'TDS data input sheet'!O31</f>
        <v>0</v>
      </c>
    </row>
    <row r="31" spans="1:6" s="29" customFormat="1" ht="12">
      <c r="A31" s="25">
        <f>+'TDS data input sheet'!B32</f>
        <v>28</v>
      </c>
      <c r="B31" s="26" t="str">
        <f>+'TDS data input sheet'!A32</f>
        <v>194 J</v>
      </c>
      <c r="C31" s="27">
        <f>+'TDS data input sheet'!C32</f>
        <v>0</v>
      </c>
      <c r="D31" s="27">
        <f>+'TDS data input sheet'!D32</f>
        <v>0</v>
      </c>
      <c r="E31" s="28">
        <f>+'TDS data input sheet'!M32</f>
        <v>0</v>
      </c>
      <c r="F31" s="28">
        <f>+'TDS data input sheet'!O32</f>
        <v>0</v>
      </c>
    </row>
    <row r="32" spans="1:6" s="29" customFormat="1" ht="12">
      <c r="A32" s="25">
        <f>+'TDS data input sheet'!B33</f>
        <v>29</v>
      </c>
      <c r="B32" s="26" t="str">
        <f>+'TDS data input sheet'!A33</f>
        <v>194 J</v>
      </c>
      <c r="C32" s="27">
        <f>+'TDS data input sheet'!C33</f>
        <v>0</v>
      </c>
      <c r="D32" s="27">
        <f>+'TDS data input sheet'!D33</f>
        <v>0</v>
      </c>
      <c r="E32" s="28">
        <f>+'TDS data input sheet'!M33</f>
        <v>0</v>
      </c>
      <c r="F32" s="28">
        <f>+'TDS data input sheet'!O33</f>
        <v>0</v>
      </c>
    </row>
    <row r="33" spans="1:6" s="29" customFormat="1" ht="12">
      <c r="A33" s="25">
        <f>+'TDS data input sheet'!B34</f>
        <v>30</v>
      </c>
      <c r="B33" s="26" t="str">
        <f>+'TDS data input sheet'!A34</f>
        <v>194 J</v>
      </c>
      <c r="C33" s="27">
        <f>+'TDS data input sheet'!C34</f>
        <v>0</v>
      </c>
      <c r="D33" s="27">
        <f>+'TDS data input sheet'!D34</f>
        <v>0</v>
      </c>
      <c r="E33" s="28">
        <f>+'TDS data input sheet'!M34</f>
        <v>0</v>
      </c>
      <c r="F33" s="28">
        <f>+'TDS data input sheet'!O34</f>
        <v>0</v>
      </c>
    </row>
    <row r="34" spans="1:6" s="29" customFormat="1" ht="12">
      <c r="A34" s="25">
        <f>+'TDS data input sheet'!B35</f>
        <v>31</v>
      </c>
      <c r="B34" s="26" t="str">
        <f>+'TDS data input sheet'!A35</f>
        <v>194 J</v>
      </c>
      <c r="C34" s="27">
        <f>+'TDS data input sheet'!C35</f>
        <v>0</v>
      </c>
      <c r="D34" s="27">
        <f>+'TDS data input sheet'!D35</f>
        <v>0</v>
      </c>
      <c r="E34" s="28">
        <f>+'TDS data input sheet'!M35</f>
        <v>0</v>
      </c>
      <c r="F34" s="28">
        <f>+'TDS data input sheet'!O35</f>
        <v>0</v>
      </c>
    </row>
    <row r="35" spans="1:6" s="29" customFormat="1" ht="12">
      <c r="A35" s="25">
        <f>+'TDS data input sheet'!B36</f>
        <v>32</v>
      </c>
      <c r="B35" s="26" t="str">
        <f>+'TDS data input sheet'!A36</f>
        <v>194 J</v>
      </c>
      <c r="C35" s="27">
        <f>+'TDS data input sheet'!C36</f>
        <v>0</v>
      </c>
      <c r="D35" s="27">
        <f>+'TDS data input sheet'!D36</f>
        <v>0</v>
      </c>
      <c r="E35" s="28">
        <f>+'TDS data input sheet'!M36</f>
        <v>0</v>
      </c>
      <c r="F35" s="28">
        <f>+'TDS data input sheet'!O36</f>
        <v>0</v>
      </c>
    </row>
    <row r="36" spans="1:6" s="29" customFormat="1" ht="12">
      <c r="A36" s="25">
        <f>+'TDS data input sheet'!B37</f>
        <v>33</v>
      </c>
      <c r="B36" s="26" t="str">
        <f>+'TDS data input sheet'!A37</f>
        <v>194 J</v>
      </c>
      <c r="C36" s="27">
        <f>+'TDS data input sheet'!C37</f>
        <v>0</v>
      </c>
      <c r="D36" s="27">
        <f>+'TDS data input sheet'!D37</f>
        <v>0</v>
      </c>
      <c r="E36" s="28">
        <f>+'TDS data input sheet'!M37</f>
        <v>0</v>
      </c>
      <c r="F36" s="28">
        <f>+'TDS data input sheet'!O37</f>
        <v>0</v>
      </c>
    </row>
    <row r="37" spans="1:6" s="29" customFormat="1" ht="12">
      <c r="A37" s="25">
        <f>+'TDS data input sheet'!B38</f>
        <v>34</v>
      </c>
      <c r="B37" s="26" t="str">
        <f>+'TDS data input sheet'!A38</f>
        <v>194 J</v>
      </c>
      <c r="C37" s="27">
        <f>+'TDS data input sheet'!C38</f>
        <v>0</v>
      </c>
      <c r="D37" s="27">
        <f>+'TDS data input sheet'!D38</f>
        <v>0</v>
      </c>
      <c r="E37" s="28">
        <f>+'TDS data input sheet'!M38</f>
        <v>0</v>
      </c>
      <c r="F37" s="28">
        <f>+'TDS data input sheet'!O38</f>
        <v>0</v>
      </c>
    </row>
    <row r="38" spans="1:6" s="29" customFormat="1" ht="12">
      <c r="A38" s="25">
        <f>+'TDS data input sheet'!B39</f>
        <v>35</v>
      </c>
      <c r="B38" s="26" t="str">
        <f>+'TDS data input sheet'!A39</f>
        <v>194 J</v>
      </c>
      <c r="C38" s="27">
        <f>+'TDS data input sheet'!C39</f>
        <v>0</v>
      </c>
      <c r="D38" s="27">
        <f>+'TDS data input sheet'!D39</f>
        <v>0</v>
      </c>
      <c r="E38" s="28">
        <f>+'TDS data input sheet'!M39</f>
        <v>0</v>
      </c>
      <c r="F38" s="28">
        <f>+'TDS data input sheet'!O39</f>
        <v>0</v>
      </c>
    </row>
    <row r="39" spans="1:6" s="29" customFormat="1" ht="12">
      <c r="A39" s="25">
        <f>+'TDS data input sheet'!B40</f>
        <v>36</v>
      </c>
      <c r="B39" s="26" t="str">
        <f>+'TDS data input sheet'!A40</f>
        <v>194 J</v>
      </c>
      <c r="C39" s="27">
        <f>+'TDS data input sheet'!C40</f>
        <v>0</v>
      </c>
      <c r="D39" s="27">
        <f>+'TDS data input sheet'!D40</f>
        <v>0</v>
      </c>
      <c r="E39" s="28">
        <f>+'TDS data input sheet'!M40</f>
        <v>0</v>
      </c>
      <c r="F39" s="28">
        <f>+'TDS data input sheet'!O40</f>
        <v>0</v>
      </c>
    </row>
    <row r="40" spans="1:6" s="29" customFormat="1" ht="12">
      <c r="A40" s="25">
        <f>+'TDS data input sheet'!B41</f>
        <v>37</v>
      </c>
      <c r="B40" s="26" t="str">
        <f>+'TDS data input sheet'!A41</f>
        <v>194 J</v>
      </c>
      <c r="C40" s="27">
        <f>+'TDS data input sheet'!C41</f>
        <v>0</v>
      </c>
      <c r="D40" s="27">
        <f>+'TDS data input sheet'!D41</f>
        <v>0</v>
      </c>
      <c r="E40" s="28">
        <f>+'TDS data input sheet'!M41</f>
        <v>0</v>
      </c>
      <c r="F40" s="28">
        <f>+'TDS data input sheet'!O41</f>
        <v>0</v>
      </c>
    </row>
    <row r="41" spans="1:6" s="29" customFormat="1" ht="12">
      <c r="A41" s="25">
        <f>+'TDS data input sheet'!B42</f>
        <v>38</v>
      </c>
      <c r="B41" s="26" t="str">
        <f>+'TDS data input sheet'!A42</f>
        <v>194 J</v>
      </c>
      <c r="C41" s="27">
        <f>+'TDS data input sheet'!C42</f>
        <v>0</v>
      </c>
      <c r="D41" s="27">
        <f>+'TDS data input sheet'!D42</f>
        <v>0</v>
      </c>
      <c r="E41" s="28">
        <f>+'TDS data input sheet'!M42</f>
        <v>0</v>
      </c>
      <c r="F41" s="28">
        <f>+'TDS data input sheet'!O42</f>
        <v>0</v>
      </c>
    </row>
    <row r="42" spans="1:6" s="29" customFormat="1" ht="12">
      <c r="A42" s="25">
        <f>+'TDS data input sheet'!B43</f>
        <v>39</v>
      </c>
      <c r="B42" s="26" t="str">
        <f>+'TDS data input sheet'!A43</f>
        <v>194 J</v>
      </c>
      <c r="C42" s="27">
        <f>+'TDS data input sheet'!C43</f>
        <v>0</v>
      </c>
      <c r="D42" s="27">
        <f>+'TDS data input sheet'!D43</f>
        <v>0</v>
      </c>
      <c r="E42" s="28">
        <f>+'TDS data input sheet'!M43</f>
        <v>0</v>
      </c>
      <c r="F42" s="28">
        <f>+'TDS data input sheet'!O43</f>
        <v>0</v>
      </c>
    </row>
    <row r="43" spans="1:6" s="29" customFormat="1" ht="12">
      <c r="A43" s="25">
        <f>+'TDS data input sheet'!B44</f>
        <v>40</v>
      </c>
      <c r="B43" s="26" t="str">
        <f>+'TDS data input sheet'!A44</f>
        <v>194 J</v>
      </c>
      <c r="C43" s="27">
        <f>+'TDS data input sheet'!C44</f>
        <v>0</v>
      </c>
      <c r="D43" s="27">
        <f>+'TDS data input sheet'!D44</f>
        <v>0</v>
      </c>
      <c r="E43" s="28">
        <f>+'TDS data input sheet'!M44</f>
        <v>0</v>
      </c>
      <c r="F43" s="28">
        <f>+'TDS data input sheet'!O44</f>
        <v>0</v>
      </c>
    </row>
    <row r="44" spans="1:6" s="29" customFormat="1" ht="12">
      <c r="A44" s="25">
        <f>+'TDS data input sheet'!B45</f>
        <v>41</v>
      </c>
      <c r="B44" s="26" t="str">
        <f>+'TDS data input sheet'!A45</f>
        <v>194 J</v>
      </c>
      <c r="C44" s="27">
        <f>+'TDS data input sheet'!C45</f>
        <v>0</v>
      </c>
      <c r="D44" s="27">
        <f>+'TDS data input sheet'!D45</f>
        <v>0</v>
      </c>
      <c r="E44" s="28">
        <f>+'TDS data input sheet'!M45</f>
        <v>0</v>
      </c>
      <c r="F44" s="28">
        <f>+'TDS data input sheet'!O45</f>
        <v>0</v>
      </c>
    </row>
    <row r="45" spans="1:6" s="29" customFormat="1" ht="12">
      <c r="A45" s="25">
        <f>+'TDS data input sheet'!B46</f>
        <v>42</v>
      </c>
      <c r="B45" s="26" t="str">
        <f>+'TDS data input sheet'!A46</f>
        <v>194 J</v>
      </c>
      <c r="C45" s="27">
        <f>+'TDS data input sheet'!C46</f>
        <v>0</v>
      </c>
      <c r="D45" s="27">
        <f>+'TDS data input sheet'!D46</f>
        <v>0</v>
      </c>
      <c r="E45" s="28">
        <f>+'TDS data input sheet'!M46</f>
        <v>0</v>
      </c>
      <c r="F45" s="28">
        <f>+'TDS data input sheet'!O46</f>
        <v>0</v>
      </c>
    </row>
    <row r="46" spans="1:6" s="29" customFormat="1" ht="12">
      <c r="A46" s="25">
        <f>+'TDS data input sheet'!B47</f>
        <v>43</v>
      </c>
      <c r="B46" s="26" t="str">
        <f>+'TDS data input sheet'!A47</f>
        <v>194 J</v>
      </c>
      <c r="C46" s="27">
        <f>+'TDS data input sheet'!C47</f>
        <v>0</v>
      </c>
      <c r="D46" s="27">
        <f>+'TDS data input sheet'!D47</f>
        <v>0</v>
      </c>
      <c r="E46" s="28">
        <f>+'TDS data input sheet'!M47</f>
        <v>0</v>
      </c>
      <c r="F46" s="28">
        <f>+'TDS data input sheet'!O47</f>
        <v>0</v>
      </c>
    </row>
    <row r="47" spans="1:6" s="29" customFormat="1" ht="12">
      <c r="A47" s="25">
        <f>+'TDS data input sheet'!B48</f>
        <v>44</v>
      </c>
      <c r="B47" s="26" t="str">
        <f>+'TDS data input sheet'!A48</f>
        <v>194 J</v>
      </c>
      <c r="C47" s="27">
        <f>+'TDS data input sheet'!C48</f>
        <v>0</v>
      </c>
      <c r="D47" s="27">
        <f>+'TDS data input sheet'!D48</f>
        <v>0</v>
      </c>
      <c r="E47" s="28">
        <f>+'TDS data input sheet'!M48</f>
        <v>0</v>
      </c>
      <c r="F47" s="28">
        <f>+'TDS data input sheet'!O48</f>
        <v>0</v>
      </c>
    </row>
    <row r="48" spans="1:6" s="29" customFormat="1" ht="12">
      <c r="A48" s="25">
        <f>+'TDS data input sheet'!B49</f>
        <v>45</v>
      </c>
      <c r="B48" s="26" t="str">
        <f>+'TDS data input sheet'!A49</f>
        <v>194 J</v>
      </c>
      <c r="C48" s="27">
        <f>+'TDS data input sheet'!C49</f>
        <v>0</v>
      </c>
      <c r="D48" s="27">
        <f>+'TDS data input sheet'!D49</f>
        <v>0</v>
      </c>
      <c r="E48" s="28">
        <f>+'TDS data input sheet'!M49</f>
        <v>0</v>
      </c>
      <c r="F48" s="28">
        <f>+'TDS data input sheet'!O49</f>
        <v>0</v>
      </c>
    </row>
    <row r="49" spans="1:6" s="29" customFormat="1" ht="12">
      <c r="A49" s="25">
        <f>+'TDS data input sheet'!B50</f>
        <v>46</v>
      </c>
      <c r="B49" s="26" t="str">
        <f>+'TDS data input sheet'!A50</f>
        <v>194 J</v>
      </c>
      <c r="C49" s="27">
        <f>+'TDS data input sheet'!C50</f>
        <v>0</v>
      </c>
      <c r="D49" s="27">
        <f>+'TDS data input sheet'!D50</f>
        <v>0</v>
      </c>
      <c r="E49" s="28">
        <f>+'TDS data input sheet'!M50</f>
        <v>0</v>
      </c>
      <c r="F49" s="28">
        <f>+'TDS data input sheet'!O50</f>
        <v>0</v>
      </c>
    </row>
    <row r="50" spans="1:6" s="29" customFormat="1" ht="12">
      <c r="A50" s="25">
        <f>+'TDS data input sheet'!B51</f>
        <v>47</v>
      </c>
      <c r="B50" s="26" t="str">
        <f>+'TDS data input sheet'!A51</f>
        <v>194 J</v>
      </c>
      <c r="C50" s="27">
        <f>+'TDS data input sheet'!C51</f>
        <v>0</v>
      </c>
      <c r="D50" s="27">
        <f>+'TDS data input sheet'!D51</f>
        <v>0</v>
      </c>
      <c r="E50" s="28">
        <f>+'TDS data input sheet'!M51</f>
        <v>0</v>
      </c>
      <c r="F50" s="28">
        <f>+'TDS data input sheet'!O51</f>
        <v>0</v>
      </c>
    </row>
    <row r="51" spans="1:6" s="29" customFormat="1" ht="12">
      <c r="A51" s="25">
        <f>+'TDS data input sheet'!B52</f>
        <v>48</v>
      </c>
      <c r="B51" s="26" t="str">
        <f>+'TDS data input sheet'!A52</f>
        <v>194 J</v>
      </c>
      <c r="C51" s="27">
        <f>+'TDS data input sheet'!C52</f>
        <v>0</v>
      </c>
      <c r="D51" s="27">
        <f>+'TDS data input sheet'!D52</f>
        <v>0</v>
      </c>
      <c r="E51" s="28">
        <f>+'TDS data input sheet'!M52</f>
        <v>0</v>
      </c>
      <c r="F51" s="28">
        <f>+'TDS data input sheet'!O52</f>
        <v>0</v>
      </c>
    </row>
    <row r="52" spans="1:6" s="29" customFormat="1" ht="12">
      <c r="A52" s="25">
        <f>+'TDS data input sheet'!B53</f>
        <v>49</v>
      </c>
      <c r="B52" s="26" t="str">
        <f>+'TDS data input sheet'!A53</f>
        <v>194 J</v>
      </c>
      <c r="C52" s="27">
        <f>+'TDS data input sheet'!C53</f>
        <v>0</v>
      </c>
      <c r="D52" s="27">
        <f>+'TDS data input sheet'!D53</f>
        <v>0</v>
      </c>
      <c r="E52" s="28">
        <f>+'TDS data input sheet'!M53</f>
        <v>0</v>
      </c>
      <c r="F52" s="28">
        <f>+'TDS data input sheet'!O53</f>
        <v>0</v>
      </c>
    </row>
    <row r="53" spans="1:6" s="29" customFormat="1" ht="12">
      <c r="A53" s="25">
        <f>+'TDS data input sheet'!B54</f>
        <v>50</v>
      </c>
      <c r="B53" s="26" t="str">
        <f>+'TDS data input sheet'!A54</f>
        <v>194 J</v>
      </c>
      <c r="C53" s="27">
        <f>+'TDS data input sheet'!C54</f>
        <v>0</v>
      </c>
      <c r="D53" s="27">
        <f>+'TDS data input sheet'!D54</f>
        <v>0</v>
      </c>
      <c r="E53" s="28">
        <f>+'TDS data input sheet'!M54</f>
        <v>0</v>
      </c>
      <c r="F53" s="28">
        <f>+'TDS data input sheet'!O54</f>
        <v>0</v>
      </c>
    </row>
    <row r="54" spans="1:6" s="29" customFormat="1" ht="12">
      <c r="A54" s="25">
        <f>+'TDS data input sheet'!B55</f>
        <v>51</v>
      </c>
      <c r="B54" s="26" t="str">
        <f>+'TDS data input sheet'!A55</f>
        <v>194 J</v>
      </c>
      <c r="C54" s="27">
        <f>+'TDS data input sheet'!C55</f>
        <v>0</v>
      </c>
      <c r="D54" s="27">
        <f>+'TDS data input sheet'!D55</f>
        <v>0</v>
      </c>
      <c r="E54" s="28">
        <f>+'TDS data input sheet'!M55</f>
        <v>0</v>
      </c>
      <c r="F54" s="28">
        <f>+'TDS data input sheet'!O55</f>
        <v>0</v>
      </c>
    </row>
    <row r="55" spans="1:6" s="29" customFormat="1" ht="12">
      <c r="A55" s="25">
        <f>+'TDS data input sheet'!B56</f>
        <v>52</v>
      </c>
      <c r="B55" s="26" t="str">
        <f>+'TDS data input sheet'!A56</f>
        <v>194 J</v>
      </c>
      <c r="C55" s="27">
        <f>+'TDS data input sheet'!C56</f>
        <v>0</v>
      </c>
      <c r="D55" s="27">
        <f>+'TDS data input sheet'!D56</f>
        <v>0</v>
      </c>
      <c r="E55" s="28">
        <f>+'TDS data input sheet'!M56</f>
        <v>0</v>
      </c>
      <c r="F55" s="28">
        <f>+'TDS data input sheet'!O56</f>
        <v>0</v>
      </c>
    </row>
    <row r="56" spans="1:6" s="29" customFormat="1" ht="12">
      <c r="A56" s="25">
        <f>+'TDS data input sheet'!B57</f>
        <v>53</v>
      </c>
      <c r="B56" s="26" t="str">
        <f>+'TDS data input sheet'!A57</f>
        <v>194 J</v>
      </c>
      <c r="C56" s="27">
        <f>+'TDS data input sheet'!C57</f>
        <v>0</v>
      </c>
      <c r="D56" s="27">
        <f>+'TDS data input sheet'!D57</f>
        <v>0</v>
      </c>
      <c r="E56" s="28">
        <f>+'TDS data input sheet'!M57</f>
        <v>0</v>
      </c>
      <c r="F56" s="28">
        <f>+'TDS data input sheet'!O57</f>
        <v>0</v>
      </c>
    </row>
    <row r="57" spans="1:6" s="29" customFormat="1" ht="12">
      <c r="A57" s="25">
        <f>+'TDS data input sheet'!B58</f>
        <v>54</v>
      </c>
      <c r="B57" s="26" t="str">
        <f>+'TDS data input sheet'!A58</f>
        <v>194 J</v>
      </c>
      <c r="C57" s="27">
        <f>+'TDS data input sheet'!C58</f>
        <v>0</v>
      </c>
      <c r="D57" s="27">
        <f>+'TDS data input sheet'!D58</f>
        <v>0</v>
      </c>
      <c r="E57" s="28">
        <f>+'TDS data input sheet'!M58</f>
        <v>0</v>
      </c>
      <c r="F57" s="28">
        <f>+'TDS data input sheet'!O58</f>
        <v>0</v>
      </c>
    </row>
    <row r="58" spans="1:6" s="29" customFormat="1" ht="12">
      <c r="A58" s="25">
        <f>+'TDS data input sheet'!B59</f>
        <v>55</v>
      </c>
      <c r="B58" s="26" t="str">
        <f>+'TDS data input sheet'!A59</f>
        <v>194 J</v>
      </c>
      <c r="C58" s="27">
        <f>+'TDS data input sheet'!C59</f>
        <v>0</v>
      </c>
      <c r="D58" s="27">
        <f>+'TDS data input sheet'!D59</f>
        <v>0</v>
      </c>
      <c r="E58" s="28">
        <f>+'TDS data input sheet'!M59</f>
        <v>0</v>
      </c>
      <c r="F58" s="28">
        <f>+'TDS data input sheet'!O59</f>
        <v>0</v>
      </c>
    </row>
    <row r="59" spans="1:6" s="29" customFormat="1" ht="12">
      <c r="A59" s="25">
        <f>+'TDS data input sheet'!B60</f>
        <v>56</v>
      </c>
      <c r="B59" s="26" t="str">
        <f>+'TDS data input sheet'!A60</f>
        <v>194 J</v>
      </c>
      <c r="C59" s="27">
        <f>+'TDS data input sheet'!C60</f>
        <v>0</v>
      </c>
      <c r="D59" s="27">
        <f>+'TDS data input sheet'!D60</f>
        <v>0</v>
      </c>
      <c r="E59" s="28">
        <f>+'TDS data input sheet'!M60</f>
        <v>0</v>
      </c>
      <c r="F59" s="28">
        <f>+'TDS data input sheet'!O60</f>
        <v>0</v>
      </c>
    </row>
    <row r="60" spans="1:6" s="29" customFormat="1" ht="12">
      <c r="A60" s="25">
        <f>+'TDS data input sheet'!B61</f>
        <v>57</v>
      </c>
      <c r="B60" s="26" t="str">
        <f>+'TDS data input sheet'!A61</f>
        <v>194C</v>
      </c>
      <c r="C60" s="27">
        <f>+'TDS data input sheet'!C61</f>
        <v>0</v>
      </c>
      <c r="D60" s="27">
        <f>+'TDS data input sheet'!D61</f>
        <v>0</v>
      </c>
      <c r="E60" s="28">
        <f>+'TDS data input sheet'!M61</f>
        <v>0</v>
      </c>
      <c r="F60" s="28">
        <f>+'TDS data input sheet'!O61</f>
        <v>0</v>
      </c>
    </row>
    <row r="61" spans="1:6" s="29" customFormat="1" ht="12">
      <c r="A61" s="25">
        <f>+'TDS data input sheet'!B62</f>
        <v>58</v>
      </c>
      <c r="B61" s="26" t="str">
        <f>+'TDS data input sheet'!A62</f>
        <v>194 J</v>
      </c>
      <c r="C61" s="27">
        <f>+'TDS data input sheet'!C62</f>
        <v>0</v>
      </c>
      <c r="D61" s="27">
        <f>+'TDS data input sheet'!D62</f>
        <v>0</v>
      </c>
      <c r="E61" s="28">
        <f>+'TDS data input sheet'!M62</f>
        <v>0</v>
      </c>
      <c r="F61" s="28">
        <f>+'TDS data input sheet'!O62</f>
        <v>0</v>
      </c>
    </row>
    <row r="62" spans="1:6" s="29" customFormat="1" ht="12">
      <c r="A62" s="25">
        <f>+'TDS data input sheet'!B63</f>
        <v>59</v>
      </c>
      <c r="B62" s="26" t="str">
        <f>+'TDS data input sheet'!A63</f>
        <v>194 J</v>
      </c>
      <c r="C62" s="27">
        <f>+'TDS data input sheet'!C63</f>
        <v>0</v>
      </c>
      <c r="D62" s="27">
        <f>+'TDS data input sheet'!D63</f>
        <v>0</v>
      </c>
      <c r="E62" s="28">
        <f>+'TDS data input sheet'!M63</f>
        <v>0</v>
      </c>
      <c r="F62" s="28">
        <f>+'TDS data input sheet'!O63</f>
        <v>0</v>
      </c>
    </row>
    <row r="63" spans="1:6" s="29" customFormat="1" ht="12">
      <c r="A63" s="25">
        <f>+'TDS data input sheet'!B64</f>
        <v>60</v>
      </c>
      <c r="B63" s="26" t="str">
        <f>+'TDS data input sheet'!A64</f>
        <v>194 J</v>
      </c>
      <c r="C63" s="27">
        <f>+'TDS data input sheet'!C64</f>
        <v>0</v>
      </c>
      <c r="D63" s="27">
        <f>+'TDS data input sheet'!D64</f>
        <v>0</v>
      </c>
      <c r="E63" s="28">
        <f>+'TDS data input sheet'!M64</f>
        <v>0</v>
      </c>
      <c r="F63" s="28">
        <f>+'TDS data input sheet'!O64</f>
        <v>0</v>
      </c>
    </row>
    <row r="64" spans="1:6" s="29" customFormat="1" ht="12">
      <c r="A64" s="25">
        <f>+'TDS data input sheet'!B65</f>
        <v>61</v>
      </c>
      <c r="B64" s="26" t="str">
        <f>+'TDS data input sheet'!A65</f>
        <v>194C</v>
      </c>
      <c r="C64" s="27">
        <f>+'TDS data input sheet'!C65</f>
        <v>0</v>
      </c>
      <c r="D64" s="27">
        <f>+'TDS data input sheet'!D65</f>
        <v>0</v>
      </c>
      <c r="E64" s="28">
        <f>+'TDS data input sheet'!M65</f>
        <v>0</v>
      </c>
      <c r="F64" s="28">
        <f>+'TDS data input sheet'!O65</f>
        <v>0</v>
      </c>
    </row>
    <row r="65" spans="1:6" s="29" customFormat="1" ht="12">
      <c r="A65" s="25">
        <f>+'TDS data input sheet'!B66</f>
        <v>62</v>
      </c>
      <c r="B65" s="26" t="str">
        <f>+'TDS data input sheet'!A66</f>
        <v>194 J</v>
      </c>
      <c r="C65" s="27">
        <f>+'TDS data input sheet'!C66</f>
        <v>0</v>
      </c>
      <c r="D65" s="27">
        <f>+'TDS data input sheet'!D66</f>
        <v>0</v>
      </c>
      <c r="E65" s="28">
        <f>+'TDS data input sheet'!M66</f>
        <v>0</v>
      </c>
      <c r="F65" s="28">
        <f>+'TDS data input sheet'!O66</f>
        <v>0</v>
      </c>
    </row>
    <row r="66" spans="1:6" s="29" customFormat="1" ht="12">
      <c r="A66" s="25">
        <f>+'TDS data input sheet'!B67</f>
        <v>63</v>
      </c>
      <c r="B66" s="26" t="str">
        <f>+'TDS data input sheet'!A67</f>
        <v>194 J</v>
      </c>
      <c r="C66" s="27">
        <f>+'TDS data input sheet'!C67</f>
        <v>0</v>
      </c>
      <c r="D66" s="27">
        <f>+'TDS data input sheet'!D67</f>
        <v>0</v>
      </c>
      <c r="E66" s="28">
        <f>+'TDS data input sheet'!M67</f>
        <v>0</v>
      </c>
      <c r="F66" s="28">
        <f>+'TDS data input sheet'!O67</f>
        <v>0</v>
      </c>
    </row>
    <row r="67" spans="1:6" s="29" customFormat="1" ht="12">
      <c r="A67" s="25">
        <f>+'TDS data input sheet'!B68</f>
        <v>64</v>
      </c>
      <c r="B67" s="26" t="str">
        <f>+'TDS data input sheet'!A68</f>
        <v>194 J</v>
      </c>
      <c r="C67" s="27">
        <f>+'TDS data input sheet'!C68</f>
        <v>0</v>
      </c>
      <c r="D67" s="27">
        <f>+'TDS data input sheet'!D68</f>
        <v>0</v>
      </c>
      <c r="E67" s="28">
        <f>+'TDS data input sheet'!M68</f>
        <v>0</v>
      </c>
      <c r="F67" s="28">
        <f>+'TDS data input sheet'!O68</f>
        <v>0</v>
      </c>
    </row>
    <row r="68" spans="1:6" s="29" customFormat="1" ht="12">
      <c r="A68" s="25">
        <f>+'TDS data input sheet'!B69</f>
        <v>65</v>
      </c>
      <c r="B68" s="26" t="str">
        <f>+'TDS data input sheet'!A69</f>
        <v>194 J</v>
      </c>
      <c r="C68" s="27">
        <f>+'TDS data input sheet'!C69</f>
        <v>0</v>
      </c>
      <c r="D68" s="27">
        <f>+'TDS data input sheet'!D69</f>
        <v>0</v>
      </c>
      <c r="E68" s="28">
        <f>+'TDS data input sheet'!M69</f>
        <v>0</v>
      </c>
      <c r="F68" s="28">
        <f>+'TDS data input sheet'!O69</f>
        <v>0</v>
      </c>
    </row>
    <row r="69" spans="1:6" s="29" customFormat="1" ht="12">
      <c r="A69" s="25">
        <f>+'TDS data input sheet'!B70</f>
        <v>66</v>
      </c>
      <c r="B69" s="26" t="str">
        <f>+'TDS data input sheet'!A70</f>
        <v>194 J</v>
      </c>
      <c r="C69" s="27">
        <f>+'TDS data input sheet'!C70</f>
        <v>0</v>
      </c>
      <c r="D69" s="27">
        <f>+'TDS data input sheet'!D70</f>
        <v>0</v>
      </c>
      <c r="E69" s="28">
        <f>+'TDS data input sheet'!M70</f>
        <v>0</v>
      </c>
      <c r="F69" s="28">
        <f>+'TDS data input sheet'!O70</f>
        <v>0</v>
      </c>
    </row>
    <row r="70" spans="1:6" s="29" customFormat="1" ht="12">
      <c r="A70" s="30"/>
      <c r="B70" s="30"/>
      <c r="C70" s="30"/>
      <c r="D70" s="30"/>
      <c r="E70" s="31">
        <f>+SUBTOTAL(9,E4:E69)</f>
        <v>0</v>
      </c>
      <c r="F70" s="31">
        <f>+SUBTOTAL(9,F4:F69)</f>
        <v>0</v>
      </c>
    </row>
    <row r="71" spans="1:6" ht="12">
      <c r="A71" s="32"/>
      <c r="B71" s="32"/>
      <c r="C71" s="32"/>
      <c r="D71" s="32"/>
      <c r="E71" s="33"/>
      <c r="F71" s="33"/>
    </row>
    <row r="72" spans="1:6" ht="12">
      <c r="A72" s="32"/>
      <c r="B72" s="32"/>
      <c r="C72" s="32"/>
      <c r="D72" s="32"/>
      <c r="E72" s="33"/>
      <c r="F72" s="33"/>
    </row>
    <row r="73" spans="1:6" ht="12.75" thickBot="1">
      <c r="A73" s="34"/>
      <c r="B73" s="34"/>
      <c r="C73" s="34"/>
      <c r="D73" s="34"/>
      <c r="E73" s="35">
        <f>+Sheet2!X11</f>
        <v>0</v>
      </c>
      <c r="F73" s="35">
        <f>+Sheet2!Y11</f>
        <v>0</v>
      </c>
    </row>
    <row r="74" ht="12.75" thickTop="1"/>
    <row r="75" spans="2:4" ht="15">
      <c r="B75" s="1" t="s">
        <v>54</v>
      </c>
      <c r="C75" s="68" t="s">
        <v>55</v>
      </c>
      <c r="D75" s="2"/>
    </row>
  </sheetData>
  <sheetProtection sheet="1" objects="1" scenarios="1" selectLockedCells="1"/>
  <autoFilter ref="B3:C70"/>
  <hyperlinks>
    <hyperlink ref="C75" r:id="rId1" display="www.taxguru.in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E1">
      <selection activeCell="K11" sqref="K11"/>
    </sheetView>
  </sheetViews>
  <sheetFormatPr defaultColWidth="9.140625" defaultRowHeight="15" customHeight="1"/>
  <cols>
    <col min="1" max="13" width="9.140625" style="36" customWidth="1"/>
    <col min="14" max="14" width="10.7109375" style="36" bestFit="1" customWidth="1"/>
    <col min="15" max="22" width="9.140625" style="36" customWidth="1"/>
    <col min="23" max="24" width="9.140625" style="38" customWidth="1"/>
    <col min="25" max="25" width="9.140625" style="42" customWidth="1"/>
    <col min="26" max="30" width="9.140625" style="38" customWidth="1"/>
    <col min="31" max="38" width="9.140625" style="39" customWidth="1"/>
    <col min="39" max="39" width="9.140625" style="38" customWidth="1"/>
    <col min="40" max="42" width="9.140625" style="39" customWidth="1"/>
    <col min="43" max="43" width="9.140625" style="36" customWidth="1"/>
    <col min="44" max="50" width="9.140625" style="52" customWidth="1"/>
    <col min="51" max="53" width="9.140625" style="55" customWidth="1"/>
    <col min="54" max="54" width="9.140625" style="39" customWidth="1"/>
    <col min="55" max="56" width="9.140625" style="53" customWidth="1"/>
    <col min="57" max="60" width="9.140625" style="36" customWidth="1"/>
    <col min="61" max="16384" width="9.140625" style="36" customWidth="1"/>
  </cols>
  <sheetData>
    <row r="1" spans="23:56" ht="15" customHeight="1">
      <c r="W1" s="67" t="s">
        <v>0</v>
      </c>
      <c r="X1" s="67"/>
      <c r="Y1" s="67"/>
      <c r="Z1" s="36"/>
      <c r="AA1" s="67" t="s">
        <v>1</v>
      </c>
      <c r="AB1" s="67"/>
      <c r="AC1" s="67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36"/>
      <c r="BC1" s="48"/>
      <c r="BD1" s="36"/>
    </row>
    <row r="2" spans="1:60" s="51" customFormat="1" ht="15" customHeight="1">
      <c r="A2" s="46"/>
      <c r="B2" s="36"/>
      <c r="C2" s="4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6" t="s">
        <v>28</v>
      </c>
      <c r="U2" s="46" t="s">
        <v>2</v>
      </c>
      <c r="V2" s="46" t="s">
        <v>3</v>
      </c>
      <c r="W2" s="49" t="s">
        <v>7</v>
      </c>
      <c r="X2" s="49" t="s">
        <v>8</v>
      </c>
      <c r="Y2" s="49" t="s">
        <v>9</v>
      </c>
      <c r="Z2" s="46" t="str">
        <f>+W1</f>
        <v>Date of Credit</v>
      </c>
      <c r="AA2" s="49" t="s">
        <v>7</v>
      </c>
      <c r="AB2" s="49" t="s">
        <v>8</v>
      </c>
      <c r="AC2" s="49" t="s">
        <v>9</v>
      </c>
      <c r="AD2" s="46" t="str">
        <f>+AA1</f>
        <v>Date of Payment</v>
      </c>
      <c r="AE2" s="46"/>
      <c r="AF2" s="46"/>
      <c r="AG2" s="46"/>
      <c r="AH2" s="46"/>
      <c r="AI2" s="46"/>
      <c r="AJ2" s="46" t="s">
        <v>10</v>
      </c>
      <c r="AK2" s="46" t="s">
        <v>11</v>
      </c>
      <c r="AL2" s="46" t="s">
        <v>12</v>
      </c>
      <c r="AM2" s="46"/>
      <c r="AN2" s="46"/>
      <c r="AO2" s="46" t="s">
        <v>13</v>
      </c>
      <c r="AP2" s="46" t="s">
        <v>14</v>
      </c>
      <c r="AQ2" s="46" t="s">
        <v>15</v>
      </c>
      <c r="AR2" s="50" t="s">
        <v>16</v>
      </c>
      <c r="AS2" s="50"/>
      <c r="AT2" s="50"/>
      <c r="AU2" s="50"/>
      <c r="AV2" s="50"/>
      <c r="AW2" s="50"/>
      <c r="AX2" s="50"/>
      <c r="AY2" s="46" t="s">
        <v>17</v>
      </c>
      <c r="AZ2" s="46"/>
      <c r="BA2" s="46"/>
      <c r="BB2" s="46" t="s">
        <v>18</v>
      </c>
      <c r="BC2" s="46" t="s">
        <v>19</v>
      </c>
      <c r="BD2" s="46"/>
      <c r="BF2" s="46" t="s">
        <v>4</v>
      </c>
      <c r="BG2" s="46" t="s">
        <v>5</v>
      </c>
      <c r="BH2" s="46" t="s">
        <v>6</v>
      </c>
    </row>
    <row r="3" spans="1:60" ht="15" customHeight="1">
      <c r="A3" s="37" t="s">
        <v>47</v>
      </c>
      <c r="B3" s="46" t="s">
        <v>33</v>
      </c>
      <c r="C3" s="37" t="s">
        <v>48</v>
      </c>
      <c r="D3" s="46" t="s">
        <v>34</v>
      </c>
      <c r="E3" s="46" t="s">
        <v>49</v>
      </c>
      <c r="F3" s="46" t="s">
        <v>50</v>
      </c>
      <c r="G3" s="46"/>
      <c r="H3" s="46"/>
      <c r="I3" s="46"/>
      <c r="J3" s="46"/>
      <c r="K3" s="46"/>
      <c r="L3" s="46"/>
      <c r="M3" s="46" t="s">
        <v>52</v>
      </c>
      <c r="N3" s="46" t="s">
        <v>51</v>
      </c>
      <c r="O3" s="46" t="s">
        <v>53</v>
      </c>
      <c r="P3" s="46"/>
      <c r="Q3" s="46"/>
      <c r="R3" s="46" t="s">
        <v>31</v>
      </c>
      <c r="S3" s="46" t="s">
        <v>32</v>
      </c>
      <c r="T3" s="36" t="s">
        <v>24</v>
      </c>
      <c r="U3" s="36">
        <v>1</v>
      </c>
      <c r="W3" s="52">
        <v>1</v>
      </c>
      <c r="X3" s="52">
        <v>6</v>
      </c>
      <c r="Y3" s="42">
        <v>2012</v>
      </c>
      <c r="Z3" s="38">
        <f aca="true" t="shared" si="0" ref="Z3:Z9">+DATE(Y3,X3,W3)</f>
        <v>41061</v>
      </c>
      <c r="AA3" s="52">
        <v>3</v>
      </c>
      <c r="AB3" s="52">
        <v>8</v>
      </c>
      <c r="AC3" s="42">
        <v>2012</v>
      </c>
      <c r="AD3" s="38">
        <f aca="true" t="shared" si="1" ref="AD3:AD8">+DATE(AC3,AB3,AA3)</f>
        <v>41124</v>
      </c>
      <c r="AE3" s="38"/>
      <c r="AF3" s="39">
        <f aca="true" t="shared" si="2" ref="AF3:AF9">+AD3-Z3</f>
        <v>63</v>
      </c>
      <c r="AG3" s="39" t="str">
        <f>+LOOKUP(X3,{1,2,3,4,5,6,7,8,9,10,11,12},{"31","","31","30","31","30","31","31","30","31","30","31"})</f>
        <v>30</v>
      </c>
      <c r="AH3" s="42">
        <f aca="true" t="shared" si="3" ref="AH3:AH9">+MOD(Y3,4)</f>
        <v>0</v>
      </c>
      <c r="AI3" s="39" t="str">
        <f aca="true" t="shared" si="4" ref="AI3:AI8">+IF(AH3=0,"29","28")</f>
        <v>29</v>
      </c>
      <c r="AJ3" s="39" t="str">
        <f aca="true" t="shared" si="5" ref="AJ3:AJ8">+IF(AG3="",AI3,AG3)</f>
        <v>30</v>
      </c>
      <c r="AK3" s="52">
        <f aca="true" t="shared" si="6" ref="AK3:AL9">+X3</f>
        <v>6</v>
      </c>
      <c r="AL3" s="42">
        <f t="shared" si="6"/>
        <v>2012</v>
      </c>
      <c r="AM3" s="38">
        <f aca="true" t="shared" si="7" ref="AM3:AM8">+DATE(AL3,AK3,AJ3)</f>
        <v>41090</v>
      </c>
      <c r="AN3" s="39">
        <v>7</v>
      </c>
      <c r="AO3" s="38">
        <f aca="true" t="shared" si="8" ref="AO3:AO8">+AM3+AN3</f>
        <v>41097</v>
      </c>
      <c r="AP3" s="42">
        <f aca="true" t="shared" si="9" ref="AP3:AP9">+AD3-Z3</f>
        <v>63</v>
      </c>
      <c r="AQ3" s="42" t="str">
        <f>+IF(BH3="P","10%",IF(BH3="h","10%",IF(BH3="","20%","10%")))</f>
        <v>10%</v>
      </c>
      <c r="AR3" s="52">
        <v>100000</v>
      </c>
      <c r="AY3" s="52">
        <f aca="true" t="shared" si="10" ref="AY3:AY8">+ROUND(AR3*AQ3,0)</f>
        <v>10000</v>
      </c>
      <c r="AZ3" s="52">
        <f aca="true" t="shared" si="11" ref="AZ3:AZ8">+IF(AD3&lt;=AO3,0,BB3)</f>
        <v>3</v>
      </c>
      <c r="BA3" s="52"/>
      <c r="BB3" s="42">
        <f aca="true" t="shared" si="12" ref="BB3:BB8">+ROUNDUP(AP3/AI3,0)</f>
        <v>3</v>
      </c>
      <c r="BC3" s="52">
        <f>+ROUND((AY3*AZ3)*1.5%,0)</f>
        <v>450</v>
      </c>
      <c r="BF3" s="54" t="s">
        <v>20</v>
      </c>
      <c r="BG3" s="36" t="str">
        <f aca="true" t="shared" si="13" ref="BG3:BG8">+LEFT(BF3,4)</f>
        <v>AIOP</v>
      </c>
      <c r="BH3" s="36" t="str">
        <f aca="true" t="shared" si="14" ref="BH3:BH8">+RIGHT(BG3,1)</f>
        <v>P</v>
      </c>
    </row>
    <row r="4" spans="1:60" ht="15" customHeight="1">
      <c r="A4" s="38">
        <f>+EOMONTH('TDS data input sheet'!E5,0)</f>
        <v>40694</v>
      </c>
      <c r="B4" s="38">
        <f>+'TDS data input sheet'!E5</f>
        <v>40691</v>
      </c>
      <c r="C4" s="39">
        <f>+MONTH(B4)</f>
        <v>5</v>
      </c>
      <c r="D4" s="40">
        <f>+'TDS data input sheet'!G5</f>
        <v>41879</v>
      </c>
      <c r="E4" s="39">
        <f>+MONTH(D4)</f>
        <v>8</v>
      </c>
      <c r="F4" s="39">
        <f>+ABS(E4-C4)</f>
        <v>3</v>
      </c>
      <c r="G4" s="39">
        <f>12-C4+E4</f>
        <v>15</v>
      </c>
      <c r="H4" s="39">
        <f>+D4-B4</f>
        <v>1188</v>
      </c>
      <c r="I4" s="41">
        <f>+H4/30</f>
        <v>39.6</v>
      </c>
      <c r="J4" s="41">
        <f>+I4/12</f>
        <v>3.3000000000000003</v>
      </c>
      <c r="K4" s="39">
        <f>+ROUNDDOWN(J4,0)</f>
        <v>3</v>
      </c>
      <c r="L4" s="39">
        <f>+K4*12</f>
        <v>36</v>
      </c>
      <c r="M4" s="39">
        <f>+IF(F4&lt;0,G4,F4)+L4</f>
        <v>39</v>
      </c>
      <c r="N4" s="40">
        <f aca="true" t="shared" si="15" ref="N4:N35">+EDATE(B4,F4)</f>
        <v>40783</v>
      </c>
      <c r="O4" s="39">
        <f aca="true" t="shared" si="16" ref="O4:O35">(IF(N4&gt;D4,F4,M4))</f>
        <v>39</v>
      </c>
      <c r="P4" s="42" t="str">
        <f>+IF(Sheet2!S4="P","1%",IF(Sheet2!S4="h","1%",IF(Sheet2!S4="","20%","2%")))</f>
        <v>20%</v>
      </c>
      <c r="Q4" s="36" t="e">
        <f>+VLOOKUP('TDS data input sheet'!A5,Sheet2!$T$3:$BD$8,24,0)</f>
        <v>#N/A</v>
      </c>
      <c r="R4" s="36">
        <f>+LEFT('TDS data input sheet'!D5,4)</f>
      </c>
      <c r="S4" s="36">
        <f aca="true" t="shared" si="17" ref="S4:S35">+RIGHT(R4,1)</f>
      </c>
      <c r="T4" s="36" t="s">
        <v>22</v>
      </c>
      <c r="U4" s="36">
        <v>1</v>
      </c>
      <c r="W4" s="52">
        <v>1</v>
      </c>
      <c r="X4" s="52">
        <v>4</v>
      </c>
      <c r="Y4" s="42">
        <v>2012</v>
      </c>
      <c r="Z4" s="38">
        <f t="shared" si="0"/>
        <v>41000</v>
      </c>
      <c r="AA4" s="52">
        <v>3</v>
      </c>
      <c r="AB4" s="52">
        <v>8</v>
      </c>
      <c r="AC4" s="42">
        <v>2012</v>
      </c>
      <c r="AD4" s="38">
        <f t="shared" si="1"/>
        <v>41124</v>
      </c>
      <c r="AE4" s="38"/>
      <c r="AF4" s="39">
        <f t="shared" si="2"/>
        <v>124</v>
      </c>
      <c r="AG4" s="39" t="str">
        <f>+LOOKUP(X4,{1,2,3,4,5,6,7,8,9,10,11,12},{"31","","31","30","31","30","31","31","30","31","30","31"})</f>
        <v>30</v>
      </c>
      <c r="AH4" s="42">
        <f t="shared" si="3"/>
        <v>0</v>
      </c>
      <c r="AI4" s="39" t="str">
        <f t="shared" si="4"/>
        <v>29</v>
      </c>
      <c r="AJ4" s="39" t="str">
        <f t="shared" si="5"/>
        <v>30</v>
      </c>
      <c r="AK4" s="52">
        <f t="shared" si="6"/>
        <v>4</v>
      </c>
      <c r="AL4" s="42">
        <f t="shared" si="6"/>
        <v>2012</v>
      </c>
      <c r="AM4" s="38">
        <f t="shared" si="7"/>
        <v>41029</v>
      </c>
      <c r="AN4" s="39">
        <v>7</v>
      </c>
      <c r="AO4" s="38">
        <f t="shared" si="8"/>
        <v>41036</v>
      </c>
      <c r="AP4" s="42">
        <f t="shared" si="9"/>
        <v>124</v>
      </c>
      <c r="AQ4" s="42" t="str">
        <f>+IF(BH4="P","10%",IF(BH4="h","10%",IF(BH4="","20%","10%")))</f>
        <v>10%</v>
      </c>
      <c r="AR4" s="52">
        <v>100000</v>
      </c>
      <c r="AY4" s="52">
        <f t="shared" si="10"/>
        <v>10000</v>
      </c>
      <c r="AZ4" s="52">
        <f t="shared" si="11"/>
        <v>5</v>
      </c>
      <c r="BA4" s="52"/>
      <c r="BB4" s="42">
        <f t="shared" si="12"/>
        <v>5</v>
      </c>
      <c r="BC4" s="52">
        <f>+ROUND((AY4*AZ4)*1.5%,0)</f>
        <v>750</v>
      </c>
      <c r="BD4" s="36"/>
      <c r="BF4" s="54" t="s">
        <v>20</v>
      </c>
      <c r="BG4" s="36" t="str">
        <f t="shared" si="13"/>
        <v>AIOP</v>
      </c>
      <c r="BH4" s="36" t="str">
        <f t="shared" si="14"/>
        <v>P</v>
      </c>
    </row>
    <row r="5" spans="1:60" ht="15" customHeight="1">
      <c r="A5" s="38">
        <f>+EOMONTH('TDS data input sheet'!E6,0)</f>
        <v>40663</v>
      </c>
      <c r="B5" s="38">
        <f>+'TDS data input sheet'!E6</f>
        <v>40640</v>
      </c>
      <c r="C5" s="39">
        <f aca="true" t="shared" si="18" ref="C5:C68">+MONTH(B5)</f>
        <v>4</v>
      </c>
      <c r="D5" s="40">
        <f>+'TDS data input sheet'!G6</f>
        <v>41066</v>
      </c>
      <c r="E5" s="39">
        <f aca="true" t="shared" si="19" ref="E5:E68">+MONTH(D5)</f>
        <v>6</v>
      </c>
      <c r="F5" s="39">
        <f aca="true" t="shared" si="20" ref="F5:F68">+E5-C5</f>
        <v>2</v>
      </c>
      <c r="G5" s="39">
        <f aca="true" t="shared" si="21" ref="G5:G68">12-C5+E5</f>
        <v>14</v>
      </c>
      <c r="H5" s="39">
        <f aca="true" t="shared" si="22" ref="H5:H68">+D5-B5</f>
        <v>426</v>
      </c>
      <c r="I5" s="41">
        <f aca="true" t="shared" si="23" ref="I5:I68">+H5/30</f>
        <v>14.2</v>
      </c>
      <c r="J5" s="41">
        <f aca="true" t="shared" si="24" ref="J5:J68">+I5/12</f>
        <v>1.1833333333333333</v>
      </c>
      <c r="K5" s="39">
        <f aca="true" t="shared" si="25" ref="K5:K68">+ROUNDDOWN(J5,0)</f>
        <v>1</v>
      </c>
      <c r="L5" s="39">
        <f aca="true" t="shared" si="26" ref="L5:L68">+K5*12</f>
        <v>12</v>
      </c>
      <c r="M5" s="39">
        <f aca="true" t="shared" si="27" ref="M5:M68">+IF(F5&lt;0,G5,F5)+L5</f>
        <v>14</v>
      </c>
      <c r="N5" s="40">
        <f t="shared" si="15"/>
        <v>40701</v>
      </c>
      <c r="O5" s="39">
        <f t="shared" si="16"/>
        <v>14</v>
      </c>
      <c r="P5" s="42" t="str">
        <f>+IF(Sheet2!S5="P","1%",IF(Sheet2!S5="h","1%",IF(Sheet2!S5="","20%","2%")))</f>
        <v>20%</v>
      </c>
      <c r="Q5" s="36" t="e">
        <f>+VLOOKUP('TDS data input sheet'!A6,Sheet2!$T$3:$BD$8,24,0)</f>
        <v>#N/A</v>
      </c>
      <c r="R5" s="36">
        <f>+LEFT('TDS data input sheet'!D6,4)</f>
      </c>
      <c r="S5" s="36">
        <f t="shared" si="17"/>
      </c>
      <c r="T5" s="36" t="s">
        <v>23</v>
      </c>
      <c r="U5" s="36">
        <v>1</v>
      </c>
      <c r="W5" s="52">
        <v>1</v>
      </c>
      <c r="X5" s="52">
        <v>4</v>
      </c>
      <c r="Y5" s="42">
        <v>2012</v>
      </c>
      <c r="Z5" s="38">
        <f t="shared" si="0"/>
        <v>41000</v>
      </c>
      <c r="AA5" s="52">
        <v>3</v>
      </c>
      <c r="AB5" s="52">
        <v>8</v>
      </c>
      <c r="AC5" s="42">
        <v>2012</v>
      </c>
      <c r="AD5" s="38">
        <f t="shared" si="1"/>
        <v>41124</v>
      </c>
      <c r="AE5" s="38"/>
      <c r="AF5" s="39">
        <f t="shared" si="2"/>
        <v>124</v>
      </c>
      <c r="AG5" s="39" t="str">
        <f>+LOOKUP(X5,{1,2,3,4,5,6,7,8,9,10,11,12},{"31","","31","30","31","30","31","31","30","31","30","31"})</f>
        <v>30</v>
      </c>
      <c r="AH5" s="42">
        <f t="shared" si="3"/>
        <v>0</v>
      </c>
      <c r="AI5" s="39" t="str">
        <f t="shared" si="4"/>
        <v>29</v>
      </c>
      <c r="AJ5" s="39" t="str">
        <f t="shared" si="5"/>
        <v>30</v>
      </c>
      <c r="AK5" s="52">
        <f t="shared" si="6"/>
        <v>4</v>
      </c>
      <c r="AL5" s="42">
        <f t="shared" si="6"/>
        <v>2012</v>
      </c>
      <c r="AM5" s="38">
        <f t="shared" si="7"/>
        <v>41029</v>
      </c>
      <c r="AN5" s="39">
        <v>7</v>
      </c>
      <c r="AO5" s="38">
        <f t="shared" si="8"/>
        <v>41036</v>
      </c>
      <c r="AP5" s="42">
        <f t="shared" si="9"/>
        <v>124</v>
      </c>
      <c r="AQ5" s="42" t="str">
        <f>+IF(BH5="P","10%",IF(BH5="h","10%",IF(BH5="","20%","10%")))</f>
        <v>10%</v>
      </c>
      <c r="AR5" s="52">
        <v>100000</v>
      </c>
      <c r="AY5" s="52">
        <f t="shared" si="10"/>
        <v>10000</v>
      </c>
      <c r="AZ5" s="52">
        <f t="shared" si="11"/>
        <v>5</v>
      </c>
      <c r="BA5" s="52"/>
      <c r="BB5" s="42">
        <f t="shared" si="12"/>
        <v>5</v>
      </c>
      <c r="BC5" s="52">
        <f>+ROUND((AY5*AZ5)*1.5%,0)</f>
        <v>750</v>
      </c>
      <c r="BD5" s="36"/>
      <c r="BF5" s="54" t="s">
        <v>20</v>
      </c>
      <c r="BG5" s="36" t="str">
        <f t="shared" si="13"/>
        <v>AIOP</v>
      </c>
      <c r="BH5" s="36" t="str">
        <f t="shared" si="14"/>
        <v>P</v>
      </c>
    </row>
    <row r="6" spans="1:60" ht="15" customHeight="1">
      <c r="A6" s="38">
        <f>+EOMONTH('TDS data input sheet'!E7,0)</f>
        <v>41090</v>
      </c>
      <c r="B6" s="38">
        <f>+'TDS data input sheet'!E7</f>
        <v>41061</v>
      </c>
      <c r="C6" s="39">
        <f t="shared" si="18"/>
        <v>6</v>
      </c>
      <c r="D6" s="40">
        <f>+'TDS data input sheet'!G7</f>
        <v>41128</v>
      </c>
      <c r="E6" s="39">
        <f t="shared" si="19"/>
        <v>8</v>
      </c>
      <c r="F6" s="39">
        <f t="shared" si="20"/>
        <v>2</v>
      </c>
      <c r="G6" s="39">
        <f t="shared" si="21"/>
        <v>14</v>
      </c>
      <c r="H6" s="39">
        <f t="shared" si="22"/>
        <v>67</v>
      </c>
      <c r="I6" s="41">
        <f t="shared" si="23"/>
        <v>2.2333333333333334</v>
      </c>
      <c r="J6" s="41">
        <f t="shared" si="24"/>
        <v>0.18611111111111112</v>
      </c>
      <c r="K6" s="39">
        <f t="shared" si="25"/>
        <v>0</v>
      </c>
      <c r="L6" s="39">
        <f t="shared" si="26"/>
        <v>0</v>
      </c>
      <c r="M6" s="39">
        <f t="shared" si="27"/>
        <v>2</v>
      </c>
      <c r="N6" s="40">
        <f t="shared" si="15"/>
        <v>41122</v>
      </c>
      <c r="O6" s="39">
        <f t="shared" si="16"/>
        <v>2</v>
      </c>
      <c r="P6" s="42" t="str">
        <f>+IF(Sheet2!S6="P","1%",IF(Sheet2!S6="h","1%",IF(Sheet2!S6="","20%","2%")))</f>
        <v>20%</v>
      </c>
      <c r="Q6" s="36" t="e">
        <f>+VLOOKUP('TDS data input sheet'!A7,Sheet2!$T$3:$BD$8,24,0)</f>
        <v>#N/A</v>
      </c>
      <c r="R6" s="36">
        <f>+LEFT('TDS data input sheet'!D7,4)</f>
      </c>
      <c r="S6" s="36">
        <f t="shared" si="17"/>
      </c>
      <c r="T6" s="36" t="s">
        <v>26</v>
      </c>
      <c r="U6" s="36">
        <v>1</v>
      </c>
      <c r="W6" s="52">
        <v>1</v>
      </c>
      <c r="X6" s="52">
        <v>4</v>
      </c>
      <c r="Y6" s="42">
        <v>2012</v>
      </c>
      <c r="Z6" s="38">
        <f t="shared" si="0"/>
        <v>41000</v>
      </c>
      <c r="AA6" s="52">
        <v>3</v>
      </c>
      <c r="AB6" s="52">
        <v>8</v>
      </c>
      <c r="AC6" s="42">
        <v>2012</v>
      </c>
      <c r="AD6" s="38">
        <f t="shared" si="1"/>
        <v>41124</v>
      </c>
      <c r="AE6" s="38"/>
      <c r="AF6" s="39">
        <f t="shared" si="2"/>
        <v>124</v>
      </c>
      <c r="AG6" s="39" t="str">
        <f>+LOOKUP(X6,{1,2,3,4,5,6,7,8,9,10,11,12},{"31","","31","30","31","30","31","31","30","31","30","31"})</f>
        <v>30</v>
      </c>
      <c r="AH6" s="42">
        <f t="shared" si="3"/>
        <v>0</v>
      </c>
      <c r="AI6" s="39" t="str">
        <f t="shared" si="4"/>
        <v>29</v>
      </c>
      <c r="AJ6" s="39" t="str">
        <f t="shared" si="5"/>
        <v>30</v>
      </c>
      <c r="AK6" s="52">
        <f t="shared" si="6"/>
        <v>4</v>
      </c>
      <c r="AL6" s="42">
        <f t="shared" si="6"/>
        <v>2012</v>
      </c>
      <c r="AM6" s="38">
        <f t="shared" si="7"/>
        <v>41029</v>
      </c>
      <c r="AN6" s="39">
        <v>7</v>
      </c>
      <c r="AO6" s="38">
        <f t="shared" si="8"/>
        <v>41036</v>
      </c>
      <c r="AP6" s="42">
        <f t="shared" si="9"/>
        <v>124</v>
      </c>
      <c r="AQ6" s="42" t="str">
        <f>+IF(BH6="P","2%",IF(BH6="h","2%",IF(BH6="","20%","2%")))</f>
        <v>2%</v>
      </c>
      <c r="AR6" s="52">
        <v>100000</v>
      </c>
      <c r="AY6" s="52">
        <f t="shared" si="10"/>
        <v>2000</v>
      </c>
      <c r="AZ6" s="52">
        <f t="shared" si="11"/>
        <v>5</v>
      </c>
      <c r="BA6" s="52"/>
      <c r="BB6" s="42">
        <f t="shared" si="12"/>
        <v>5</v>
      </c>
      <c r="BC6" s="52">
        <f>+ROUND((AY6*AZ6)*1.5%,0)</f>
        <v>150</v>
      </c>
      <c r="BD6" s="36"/>
      <c r="BF6" s="54" t="s">
        <v>20</v>
      </c>
      <c r="BG6" s="36" t="str">
        <f t="shared" si="13"/>
        <v>AIOP</v>
      </c>
      <c r="BH6" s="36" t="str">
        <f t="shared" si="14"/>
        <v>P</v>
      </c>
    </row>
    <row r="7" spans="1:60" ht="15" customHeight="1">
      <c r="A7" s="38">
        <f>+EOMONTH('TDS data input sheet'!E8,0)</f>
        <v>41090</v>
      </c>
      <c r="B7" s="38">
        <f>+'TDS data input sheet'!E8</f>
        <v>41061</v>
      </c>
      <c r="C7" s="39">
        <f t="shared" si="18"/>
        <v>6</v>
      </c>
      <c r="D7" s="40">
        <f>+'TDS data input sheet'!G8</f>
        <v>41128</v>
      </c>
      <c r="E7" s="39">
        <f t="shared" si="19"/>
        <v>8</v>
      </c>
      <c r="F7" s="39">
        <f t="shared" si="20"/>
        <v>2</v>
      </c>
      <c r="G7" s="39">
        <f t="shared" si="21"/>
        <v>14</v>
      </c>
      <c r="H7" s="39">
        <f t="shared" si="22"/>
        <v>67</v>
      </c>
      <c r="I7" s="41">
        <f t="shared" si="23"/>
        <v>2.2333333333333334</v>
      </c>
      <c r="J7" s="41">
        <f t="shared" si="24"/>
        <v>0.18611111111111112</v>
      </c>
      <c r="K7" s="39">
        <f t="shared" si="25"/>
        <v>0</v>
      </c>
      <c r="L7" s="39">
        <f t="shared" si="26"/>
        <v>0</v>
      </c>
      <c r="M7" s="39">
        <f t="shared" si="27"/>
        <v>2</v>
      </c>
      <c r="N7" s="40">
        <f t="shared" si="15"/>
        <v>41122</v>
      </c>
      <c r="O7" s="39">
        <f t="shared" si="16"/>
        <v>2</v>
      </c>
      <c r="P7" s="42" t="str">
        <f>+IF(Sheet2!S7="P","1%",IF(Sheet2!S7="h","1%",IF(Sheet2!S7="","20%","2%")))</f>
        <v>20%</v>
      </c>
      <c r="Q7" s="36" t="str">
        <f>+VLOOKUP('TDS data input sheet'!A8,Sheet2!$T$3:$BD$8,24,0)</f>
        <v>10%</v>
      </c>
      <c r="R7" s="36">
        <f>+LEFT('TDS data input sheet'!D8,4)</f>
      </c>
      <c r="S7" s="36">
        <f t="shared" si="17"/>
      </c>
      <c r="T7" s="36" t="s">
        <v>25</v>
      </c>
      <c r="U7" s="36">
        <v>1</v>
      </c>
      <c r="W7" s="52">
        <v>1</v>
      </c>
      <c r="X7" s="52">
        <v>4</v>
      </c>
      <c r="Y7" s="42">
        <v>2012</v>
      </c>
      <c r="Z7" s="38">
        <f t="shared" si="0"/>
        <v>41000</v>
      </c>
      <c r="AA7" s="52">
        <v>3</v>
      </c>
      <c r="AB7" s="52">
        <v>8</v>
      </c>
      <c r="AC7" s="42">
        <v>2012</v>
      </c>
      <c r="AD7" s="38">
        <f t="shared" si="1"/>
        <v>41124</v>
      </c>
      <c r="AE7" s="38"/>
      <c r="AF7" s="39">
        <f t="shared" si="2"/>
        <v>124</v>
      </c>
      <c r="AG7" s="39" t="str">
        <f>+LOOKUP(X7,{1,2,3,4,5,6,7,8,9,10,11,12},{"31","","31","30","31","30","31","31","30","31","30","31"})</f>
        <v>30</v>
      </c>
      <c r="AH7" s="42">
        <f t="shared" si="3"/>
        <v>0</v>
      </c>
      <c r="AI7" s="39" t="str">
        <f t="shared" si="4"/>
        <v>29</v>
      </c>
      <c r="AJ7" s="39" t="str">
        <f t="shared" si="5"/>
        <v>30</v>
      </c>
      <c r="AK7" s="52">
        <f t="shared" si="6"/>
        <v>4</v>
      </c>
      <c r="AL7" s="42">
        <f t="shared" si="6"/>
        <v>2012</v>
      </c>
      <c r="AM7" s="38">
        <f t="shared" si="7"/>
        <v>41029</v>
      </c>
      <c r="AN7" s="39">
        <v>7</v>
      </c>
      <c r="AO7" s="38">
        <f t="shared" si="8"/>
        <v>41036</v>
      </c>
      <c r="AP7" s="42">
        <f t="shared" si="9"/>
        <v>124</v>
      </c>
      <c r="AQ7" s="42" t="str">
        <f>+IF(BH7="P","10%",IF(BH7="h","10%",IF(BH7="","20%","10%")))</f>
        <v>10%</v>
      </c>
      <c r="AR7" s="52">
        <v>100000</v>
      </c>
      <c r="AY7" s="52">
        <f t="shared" si="10"/>
        <v>10000</v>
      </c>
      <c r="AZ7" s="52">
        <f t="shared" si="11"/>
        <v>5</v>
      </c>
      <c r="BA7" s="52"/>
      <c r="BB7" s="42">
        <f t="shared" si="12"/>
        <v>5</v>
      </c>
      <c r="BC7" s="52">
        <f>+ROUND((AY7*AZ7)*1.5%,0)</f>
        <v>750</v>
      </c>
      <c r="BD7" s="36"/>
      <c r="BF7" s="54" t="s">
        <v>20</v>
      </c>
      <c r="BG7" s="36" t="str">
        <f t="shared" si="13"/>
        <v>AIOP</v>
      </c>
      <c r="BH7" s="36" t="str">
        <f t="shared" si="14"/>
        <v>P</v>
      </c>
    </row>
    <row r="8" spans="1:60" ht="15" customHeight="1">
      <c r="A8" s="38">
        <f>+EOMONTH('TDS data input sheet'!E9,0)</f>
        <v>41090</v>
      </c>
      <c r="B8" s="38">
        <f>+'TDS data input sheet'!E9</f>
        <v>41061</v>
      </c>
      <c r="C8" s="39">
        <f t="shared" si="18"/>
        <v>6</v>
      </c>
      <c r="D8" s="40">
        <f>+'TDS data input sheet'!G9</f>
        <v>41128</v>
      </c>
      <c r="E8" s="39">
        <f t="shared" si="19"/>
        <v>8</v>
      </c>
      <c r="F8" s="39">
        <f t="shared" si="20"/>
        <v>2</v>
      </c>
      <c r="G8" s="39">
        <f t="shared" si="21"/>
        <v>14</v>
      </c>
      <c r="H8" s="39">
        <f t="shared" si="22"/>
        <v>67</v>
      </c>
      <c r="I8" s="41">
        <f t="shared" si="23"/>
        <v>2.2333333333333334</v>
      </c>
      <c r="J8" s="41">
        <f t="shared" si="24"/>
        <v>0.18611111111111112</v>
      </c>
      <c r="K8" s="39">
        <f t="shared" si="25"/>
        <v>0</v>
      </c>
      <c r="L8" s="39">
        <f t="shared" si="26"/>
        <v>0</v>
      </c>
      <c r="M8" s="39">
        <f t="shared" si="27"/>
        <v>2</v>
      </c>
      <c r="N8" s="40">
        <f t="shared" si="15"/>
        <v>41122</v>
      </c>
      <c r="O8" s="39">
        <f t="shared" si="16"/>
        <v>2</v>
      </c>
      <c r="P8" s="42" t="str">
        <f>+IF(Sheet2!S8="P","1%",IF(Sheet2!S8="h","1%",IF(Sheet2!S8="","20%","2%")))</f>
        <v>20%</v>
      </c>
      <c r="Q8" s="36" t="str">
        <f>+VLOOKUP('TDS data input sheet'!A9,Sheet2!$T$3:$BD$8,24,0)</f>
        <v>10%</v>
      </c>
      <c r="R8" s="36">
        <f>+LEFT('TDS data input sheet'!D9,4)</f>
      </c>
      <c r="S8" s="36">
        <f t="shared" si="17"/>
      </c>
      <c r="T8" s="36" t="s">
        <v>27</v>
      </c>
      <c r="U8" s="36">
        <v>1</v>
      </c>
      <c r="W8" s="52">
        <v>1</v>
      </c>
      <c r="X8" s="52">
        <v>4</v>
      </c>
      <c r="Y8" s="42">
        <v>2012</v>
      </c>
      <c r="Z8" s="38">
        <f t="shared" si="0"/>
        <v>41000</v>
      </c>
      <c r="AA8" s="52">
        <v>3</v>
      </c>
      <c r="AB8" s="52">
        <v>8</v>
      </c>
      <c r="AC8" s="42">
        <v>2012</v>
      </c>
      <c r="AD8" s="38">
        <f t="shared" si="1"/>
        <v>41124</v>
      </c>
      <c r="AE8" s="38"/>
      <c r="AF8" s="39">
        <f t="shared" si="2"/>
        <v>124</v>
      </c>
      <c r="AG8" s="39" t="str">
        <f>+LOOKUP(X8,{1,2,3,4,5,6,7,8,9,10,11,12},{"31","","31","30","31","30","31","31","30","31","30","31"})</f>
        <v>30</v>
      </c>
      <c r="AH8" s="42">
        <f t="shared" si="3"/>
        <v>0</v>
      </c>
      <c r="AI8" s="39" t="str">
        <f t="shared" si="4"/>
        <v>29</v>
      </c>
      <c r="AJ8" s="39" t="str">
        <f t="shared" si="5"/>
        <v>30</v>
      </c>
      <c r="AK8" s="52">
        <f t="shared" si="6"/>
        <v>4</v>
      </c>
      <c r="AL8" s="42">
        <f t="shared" si="6"/>
        <v>2012</v>
      </c>
      <c r="AM8" s="38">
        <f t="shared" si="7"/>
        <v>41029</v>
      </c>
      <c r="AN8" s="39">
        <v>7</v>
      </c>
      <c r="AO8" s="38">
        <f t="shared" si="8"/>
        <v>41036</v>
      </c>
      <c r="AP8" s="42">
        <f t="shared" si="9"/>
        <v>124</v>
      </c>
      <c r="AQ8" s="42" t="str">
        <f>+IF(BH8="P","10%",IF(BH8="h","10%",IF(BH8="","20%","10%")))</f>
        <v>10%</v>
      </c>
      <c r="AR8" s="52">
        <v>100000</v>
      </c>
      <c r="AY8" s="52">
        <f t="shared" si="10"/>
        <v>10000</v>
      </c>
      <c r="AZ8" s="52">
        <f t="shared" si="11"/>
        <v>5</v>
      </c>
      <c r="BA8" s="52"/>
      <c r="BB8" s="42">
        <f t="shared" si="12"/>
        <v>5</v>
      </c>
      <c r="BC8" s="52">
        <f>+ROUND((AY8*AZ8)*1.5%,0)</f>
        <v>750</v>
      </c>
      <c r="BD8" s="36"/>
      <c r="BF8" s="54" t="s">
        <v>20</v>
      </c>
      <c r="BG8" s="36" t="str">
        <f t="shared" si="13"/>
        <v>AIOP</v>
      </c>
      <c r="BH8" s="36" t="str">
        <f t="shared" si="14"/>
        <v>P</v>
      </c>
    </row>
    <row r="9" spans="1:60" ht="15" customHeight="1">
      <c r="A9" s="38">
        <f>+EOMONTH('TDS data input sheet'!E10,0)</f>
        <v>41090</v>
      </c>
      <c r="B9" s="38">
        <f>+'TDS data input sheet'!E10</f>
        <v>41061</v>
      </c>
      <c r="C9" s="39">
        <f t="shared" si="18"/>
        <v>6</v>
      </c>
      <c r="D9" s="40">
        <f>+'TDS data input sheet'!G10</f>
        <v>41128</v>
      </c>
      <c r="E9" s="39">
        <f t="shared" si="19"/>
        <v>8</v>
      </c>
      <c r="F9" s="39">
        <f t="shared" si="20"/>
        <v>2</v>
      </c>
      <c r="G9" s="39">
        <f t="shared" si="21"/>
        <v>14</v>
      </c>
      <c r="H9" s="39">
        <f t="shared" si="22"/>
        <v>67</v>
      </c>
      <c r="I9" s="41">
        <f t="shared" si="23"/>
        <v>2.2333333333333334</v>
      </c>
      <c r="J9" s="41">
        <f t="shared" si="24"/>
        <v>0.18611111111111112</v>
      </c>
      <c r="K9" s="39">
        <f t="shared" si="25"/>
        <v>0</v>
      </c>
      <c r="L9" s="39">
        <f t="shared" si="26"/>
        <v>0</v>
      </c>
      <c r="M9" s="39">
        <f t="shared" si="27"/>
        <v>2</v>
      </c>
      <c r="N9" s="40">
        <f t="shared" si="15"/>
        <v>41122</v>
      </c>
      <c r="O9" s="39">
        <f t="shared" si="16"/>
        <v>2</v>
      </c>
      <c r="P9" s="42" t="str">
        <f>+IF(Sheet2!S9="P","1%",IF(Sheet2!S9="h","1%",IF(Sheet2!S9="","20%","2%")))</f>
        <v>20%</v>
      </c>
      <c r="Q9" s="36" t="str">
        <f>+VLOOKUP('TDS data input sheet'!A10,Sheet2!$T$3:$BD$8,24,0)</f>
        <v>2%</v>
      </c>
      <c r="R9" s="36">
        <f>+LEFT('TDS data input sheet'!D10,4)</f>
      </c>
      <c r="S9" s="36">
        <f t="shared" si="17"/>
      </c>
      <c r="T9" s="36" t="s">
        <v>21</v>
      </c>
      <c r="U9" s="36">
        <v>1</v>
      </c>
      <c r="W9" s="52">
        <v>1</v>
      </c>
      <c r="X9" s="52">
        <v>4</v>
      </c>
      <c r="Y9" s="42">
        <v>2012</v>
      </c>
      <c r="Z9" s="38">
        <f t="shared" si="0"/>
        <v>41000</v>
      </c>
      <c r="AA9" s="52">
        <v>3</v>
      </c>
      <c r="AB9" s="52">
        <v>8</v>
      </c>
      <c r="AC9" s="42">
        <v>2012</v>
      </c>
      <c r="AD9" s="38">
        <f>+DATE(AC9,AB9,AA9)</f>
        <v>41124</v>
      </c>
      <c r="AE9" s="38"/>
      <c r="AF9" s="39">
        <f t="shared" si="2"/>
        <v>124</v>
      </c>
      <c r="AG9" s="39" t="str">
        <f>+LOOKUP(X9,{1,2,3,4,5,6,7,8,9,10,11,12},{"31","","31","30","31","30","31","31","30","31","30","31"})</f>
        <v>30</v>
      </c>
      <c r="AH9" s="42">
        <f t="shared" si="3"/>
        <v>0</v>
      </c>
      <c r="AI9" s="39" t="str">
        <f>+IF(AH9=0,"29","28")</f>
        <v>29</v>
      </c>
      <c r="AJ9" s="39" t="str">
        <f>+IF(AG9="",AI9,AG9)</f>
        <v>30</v>
      </c>
      <c r="AK9" s="52">
        <f t="shared" si="6"/>
        <v>4</v>
      </c>
      <c r="AL9" s="42">
        <f t="shared" si="6"/>
        <v>2012</v>
      </c>
      <c r="AM9" s="38">
        <f>+DATE(AL9,AK9,AJ9)</f>
        <v>41029</v>
      </c>
      <c r="AN9" s="39">
        <v>7</v>
      </c>
      <c r="AO9" s="38">
        <f>+AM9+AN9</f>
        <v>41036</v>
      </c>
      <c r="AP9" s="42">
        <f t="shared" si="9"/>
        <v>124</v>
      </c>
      <c r="AQ9" s="42" t="str">
        <f>+IF(BH9="P","1%",IF(BH9="h","1%",IF(BH9="","20%","2%")))</f>
        <v>1%</v>
      </c>
      <c r="AR9" s="52">
        <v>100000</v>
      </c>
      <c r="AY9" s="52">
        <f>+ROUND(AR9*AQ9,0)</f>
        <v>1000</v>
      </c>
      <c r="AZ9" s="52">
        <f>+IF(AD9&lt;=AO9,0,BB9)</f>
        <v>5</v>
      </c>
      <c r="BA9" s="52"/>
      <c r="BB9" s="42">
        <f>+ROUNDUP(AP9/AI9,0)</f>
        <v>5</v>
      </c>
      <c r="BC9" s="52">
        <f>+ROUND((AY9*AZ9)*1.5%,0)</f>
        <v>75</v>
      </c>
      <c r="BD9" s="36"/>
      <c r="BF9" s="54" t="s">
        <v>20</v>
      </c>
      <c r="BG9" s="36" t="str">
        <f>+LEFT(BF9,4)</f>
        <v>AIOP</v>
      </c>
      <c r="BH9" s="36" t="str">
        <f>+RIGHT(BG9,1)</f>
        <v>P</v>
      </c>
    </row>
    <row r="10" spans="1:19" ht="15" customHeight="1">
      <c r="A10" s="38">
        <f>+EOMONTH('TDS data input sheet'!E11,0)</f>
        <v>41090</v>
      </c>
      <c r="B10" s="38">
        <f>+'TDS data input sheet'!E11</f>
        <v>41061</v>
      </c>
      <c r="C10" s="39">
        <f t="shared" si="18"/>
        <v>6</v>
      </c>
      <c r="D10" s="40">
        <f>+'TDS data input sheet'!G11</f>
        <v>41128</v>
      </c>
      <c r="E10" s="39">
        <f t="shared" si="19"/>
        <v>8</v>
      </c>
      <c r="F10" s="39">
        <f t="shared" si="20"/>
        <v>2</v>
      </c>
      <c r="G10" s="39">
        <f t="shared" si="21"/>
        <v>14</v>
      </c>
      <c r="H10" s="39">
        <f t="shared" si="22"/>
        <v>67</v>
      </c>
      <c r="I10" s="41">
        <f t="shared" si="23"/>
        <v>2.2333333333333334</v>
      </c>
      <c r="J10" s="41">
        <f t="shared" si="24"/>
        <v>0.18611111111111112</v>
      </c>
      <c r="K10" s="39">
        <f t="shared" si="25"/>
        <v>0</v>
      </c>
      <c r="L10" s="39">
        <f t="shared" si="26"/>
        <v>0</v>
      </c>
      <c r="M10" s="39">
        <f t="shared" si="27"/>
        <v>2</v>
      </c>
      <c r="N10" s="40">
        <f t="shared" si="15"/>
        <v>41122</v>
      </c>
      <c r="O10" s="39">
        <f t="shared" si="16"/>
        <v>2</v>
      </c>
      <c r="P10" s="42" t="str">
        <f>+IF(Sheet2!S10="P","1%",IF(Sheet2!S10="h","1%",IF(Sheet2!S10="","20%","2%")))</f>
        <v>20%</v>
      </c>
      <c r="Q10" s="36" t="str">
        <f>+VLOOKUP('TDS data input sheet'!A11,Sheet2!$T$3:$BD$8,24,0)</f>
        <v>10%</v>
      </c>
      <c r="R10" s="36">
        <f>+LEFT('TDS data input sheet'!D11,4)</f>
      </c>
      <c r="S10" s="36">
        <f t="shared" si="17"/>
      </c>
    </row>
    <row r="11" spans="1:56" ht="15" customHeight="1">
      <c r="A11" s="38">
        <f>+EOMONTH('TDS data input sheet'!E12,0)</f>
        <v>41090</v>
      </c>
      <c r="B11" s="38">
        <f>+'TDS data input sheet'!E12</f>
        <v>41061</v>
      </c>
      <c r="C11" s="39">
        <f t="shared" si="18"/>
        <v>6</v>
      </c>
      <c r="D11" s="40">
        <f>+'TDS data input sheet'!G12</f>
        <v>41128</v>
      </c>
      <c r="E11" s="39">
        <f t="shared" si="19"/>
        <v>8</v>
      </c>
      <c r="F11" s="39">
        <f t="shared" si="20"/>
        <v>2</v>
      </c>
      <c r="G11" s="39">
        <f t="shared" si="21"/>
        <v>14</v>
      </c>
      <c r="H11" s="39">
        <f t="shared" si="22"/>
        <v>67</v>
      </c>
      <c r="I11" s="41">
        <f t="shared" si="23"/>
        <v>2.2333333333333334</v>
      </c>
      <c r="J11" s="41">
        <f t="shared" si="24"/>
        <v>0.18611111111111112</v>
      </c>
      <c r="K11" s="39">
        <f t="shared" si="25"/>
        <v>0</v>
      </c>
      <c r="L11" s="39">
        <f t="shared" si="26"/>
        <v>0</v>
      </c>
      <c r="M11" s="39">
        <f t="shared" si="27"/>
        <v>2</v>
      </c>
      <c r="N11" s="40">
        <f t="shared" si="15"/>
        <v>41122</v>
      </c>
      <c r="O11" s="39">
        <f t="shared" si="16"/>
        <v>2</v>
      </c>
      <c r="P11" s="42" t="str">
        <f>+IF(Sheet2!S11="P","1%",IF(Sheet2!S11="h","1%",IF(Sheet2!S11="","20%","2%")))</f>
        <v>20%</v>
      </c>
      <c r="Q11" s="36" t="e">
        <f>+VLOOKUP('TDS data input sheet'!A12,Sheet2!$T$3:$BD$8,24,0)</f>
        <v>#N/A</v>
      </c>
      <c r="R11" s="36">
        <f>+LEFT('TDS data input sheet'!D12,4)</f>
      </c>
      <c r="S11" s="36">
        <f t="shared" si="17"/>
      </c>
      <c r="T11" s="43">
        <v>31</v>
      </c>
      <c r="U11" s="43"/>
      <c r="V11" s="43"/>
      <c r="W11" s="43"/>
      <c r="X11" s="43">
        <f>+SUBTOTAL(9,'Ans. in anyway you want is here'!E4:E69)</f>
        <v>0</v>
      </c>
      <c r="Y11" s="43">
        <f>+SUBTOTAL(9,'Ans. in anyway you want is here'!F4:F69)</f>
        <v>0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</row>
    <row r="12" spans="1:20" ht="15" customHeight="1">
      <c r="A12" s="38">
        <f>+EOMONTH('TDS data input sheet'!E13,0)</f>
        <v>41090</v>
      </c>
      <c r="B12" s="38">
        <f>+'TDS data input sheet'!E13</f>
        <v>41061</v>
      </c>
      <c r="C12" s="39">
        <f t="shared" si="18"/>
        <v>6</v>
      </c>
      <c r="D12" s="40">
        <f>+'TDS data input sheet'!G13</f>
        <v>41128</v>
      </c>
      <c r="E12" s="39">
        <f t="shared" si="19"/>
        <v>8</v>
      </c>
      <c r="F12" s="39">
        <f t="shared" si="20"/>
        <v>2</v>
      </c>
      <c r="G12" s="39">
        <f t="shared" si="21"/>
        <v>14</v>
      </c>
      <c r="H12" s="39">
        <f t="shared" si="22"/>
        <v>67</v>
      </c>
      <c r="I12" s="41">
        <f t="shared" si="23"/>
        <v>2.2333333333333334</v>
      </c>
      <c r="J12" s="41">
        <f t="shared" si="24"/>
        <v>0.18611111111111112</v>
      </c>
      <c r="K12" s="39">
        <f t="shared" si="25"/>
        <v>0</v>
      </c>
      <c r="L12" s="39">
        <f t="shared" si="26"/>
        <v>0</v>
      </c>
      <c r="M12" s="39">
        <f t="shared" si="27"/>
        <v>2</v>
      </c>
      <c r="N12" s="40">
        <f t="shared" si="15"/>
        <v>41122</v>
      </c>
      <c r="O12" s="39">
        <f t="shared" si="16"/>
        <v>2</v>
      </c>
      <c r="P12" s="42" t="str">
        <f>+IF(Sheet2!S12="P","1%",IF(Sheet2!S12="h","1%",IF(Sheet2!S12="","20%","2%")))</f>
        <v>20%</v>
      </c>
      <c r="Q12" s="36" t="str">
        <f>+VLOOKUP('TDS data input sheet'!A13,Sheet2!$T$3:$BD$8,24,0)</f>
        <v>10%</v>
      </c>
      <c r="R12" s="36">
        <f>+LEFT('TDS data input sheet'!D13,4)</f>
      </c>
      <c r="S12" s="36">
        <f t="shared" si="17"/>
      </c>
      <c r="T12" s="36">
        <v>31</v>
      </c>
    </row>
    <row r="13" spans="1:22" ht="15" customHeight="1">
      <c r="A13" s="38">
        <f>+EOMONTH('TDS data input sheet'!E14,0)</f>
        <v>41090</v>
      </c>
      <c r="B13" s="38">
        <f>+'TDS data input sheet'!E14</f>
        <v>41061</v>
      </c>
      <c r="C13" s="39">
        <f t="shared" si="18"/>
        <v>6</v>
      </c>
      <c r="D13" s="40">
        <f>+'TDS data input sheet'!G14</f>
        <v>41128</v>
      </c>
      <c r="E13" s="39">
        <f t="shared" si="19"/>
        <v>8</v>
      </c>
      <c r="F13" s="39">
        <f t="shared" si="20"/>
        <v>2</v>
      </c>
      <c r="G13" s="39">
        <f t="shared" si="21"/>
        <v>14</v>
      </c>
      <c r="H13" s="39">
        <f t="shared" si="22"/>
        <v>67</v>
      </c>
      <c r="I13" s="41">
        <f t="shared" si="23"/>
        <v>2.2333333333333334</v>
      </c>
      <c r="J13" s="41">
        <f t="shared" si="24"/>
        <v>0.18611111111111112</v>
      </c>
      <c r="K13" s="39">
        <f t="shared" si="25"/>
        <v>0</v>
      </c>
      <c r="L13" s="39">
        <f t="shared" si="26"/>
        <v>0</v>
      </c>
      <c r="M13" s="39">
        <f t="shared" si="27"/>
        <v>2</v>
      </c>
      <c r="N13" s="40">
        <f t="shared" si="15"/>
        <v>41122</v>
      </c>
      <c r="O13" s="39">
        <f t="shared" si="16"/>
        <v>2</v>
      </c>
      <c r="P13" s="42" t="str">
        <f>+IF(Sheet2!S13="P","1%",IF(Sheet2!S13="h","1%",IF(Sheet2!S13="","20%","2%")))</f>
        <v>20%</v>
      </c>
      <c r="Q13" s="36" t="e">
        <f>+VLOOKUP('TDS data input sheet'!A14,Sheet2!$T$3:$BD$8,24,0)</f>
        <v>#N/A</v>
      </c>
      <c r="R13" s="36">
        <f>+LEFT('TDS data input sheet'!D14,4)</f>
      </c>
      <c r="S13" s="36">
        <f t="shared" si="17"/>
      </c>
      <c r="T13" s="36">
        <v>3</v>
      </c>
      <c r="V13" s="53"/>
    </row>
    <row r="14" spans="1:22" ht="15" customHeight="1">
      <c r="A14" s="38">
        <f>+EOMONTH('TDS data input sheet'!E15,0)</f>
        <v>41090</v>
      </c>
      <c r="B14" s="38">
        <f>+'TDS data input sheet'!E15</f>
        <v>41061</v>
      </c>
      <c r="C14" s="39">
        <f t="shared" si="18"/>
        <v>6</v>
      </c>
      <c r="D14" s="40">
        <f>+'TDS data input sheet'!G15</f>
        <v>41128</v>
      </c>
      <c r="E14" s="39">
        <f t="shared" si="19"/>
        <v>8</v>
      </c>
      <c r="F14" s="39">
        <f t="shared" si="20"/>
        <v>2</v>
      </c>
      <c r="G14" s="39">
        <f t="shared" si="21"/>
        <v>14</v>
      </c>
      <c r="H14" s="39">
        <f t="shared" si="22"/>
        <v>67</v>
      </c>
      <c r="I14" s="41">
        <f t="shared" si="23"/>
        <v>2.2333333333333334</v>
      </c>
      <c r="J14" s="41">
        <f t="shared" si="24"/>
        <v>0.18611111111111112</v>
      </c>
      <c r="K14" s="39">
        <f t="shared" si="25"/>
        <v>0</v>
      </c>
      <c r="L14" s="39">
        <f t="shared" si="26"/>
        <v>0</v>
      </c>
      <c r="M14" s="39">
        <f t="shared" si="27"/>
        <v>2</v>
      </c>
      <c r="N14" s="40">
        <f t="shared" si="15"/>
        <v>41122</v>
      </c>
      <c r="O14" s="39">
        <f t="shared" si="16"/>
        <v>2</v>
      </c>
      <c r="P14" s="42" t="str">
        <f>+IF(Sheet2!S14="P","1%",IF(Sheet2!S14="h","1%",IF(Sheet2!S14="","20%","2%")))</f>
        <v>20%</v>
      </c>
      <c r="Q14" s="36" t="str">
        <f>+VLOOKUP('TDS data input sheet'!A15,Sheet2!$T$3:$BD$8,24,0)</f>
        <v>10%</v>
      </c>
      <c r="R14" s="36">
        <f>+LEFT('TDS data input sheet'!D15,4)</f>
      </c>
      <c r="S14" s="36">
        <f t="shared" si="17"/>
      </c>
      <c r="V14" s="53"/>
    </row>
    <row r="15" spans="1:19" ht="15" customHeight="1">
      <c r="A15" s="38">
        <f>+EOMONTH('TDS data input sheet'!E16,0)</f>
        <v>41090</v>
      </c>
      <c r="B15" s="38">
        <f>+'TDS data input sheet'!E16</f>
        <v>41061</v>
      </c>
      <c r="C15" s="39">
        <f t="shared" si="18"/>
        <v>6</v>
      </c>
      <c r="D15" s="40">
        <f>+'TDS data input sheet'!G16</f>
        <v>41128</v>
      </c>
      <c r="E15" s="39">
        <f t="shared" si="19"/>
        <v>8</v>
      </c>
      <c r="F15" s="39">
        <f t="shared" si="20"/>
        <v>2</v>
      </c>
      <c r="G15" s="39">
        <f t="shared" si="21"/>
        <v>14</v>
      </c>
      <c r="H15" s="39">
        <f t="shared" si="22"/>
        <v>67</v>
      </c>
      <c r="I15" s="41">
        <f t="shared" si="23"/>
        <v>2.2333333333333334</v>
      </c>
      <c r="J15" s="41">
        <f t="shared" si="24"/>
        <v>0.18611111111111112</v>
      </c>
      <c r="K15" s="39">
        <f t="shared" si="25"/>
        <v>0</v>
      </c>
      <c r="L15" s="39">
        <f t="shared" si="26"/>
        <v>0</v>
      </c>
      <c r="M15" s="39">
        <f t="shared" si="27"/>
        <v>2</v>
      </c>
      <c r="N15" s="40">
        <f t="shared" si="15"/>
        <v>41122</v>
      </c>
      <c r="O15" s="39">
        <f t="shared" si="16"/>
        <v>2</v>
      </c>
      <c r="P15" s="42" t="str">
        <f>+IF(Sheet2!S15="P","1%",IF(Sheet2!S15="h","1%",IF(Sheet2!S15="","20%","2%")))</f>
        <v>20%</v>
      </c>
      <c r="Q15" s="36" t="str">
        <f>+VLOOKUP('TDS data input sheet'!A16,Sheet2!$T$3:$BD$8,24,0)</f>
        <v>10%</v>
      </c>
      <c r="R15" s="36">
        <f>+LEFT('TDS data input sheet'!D16,4)</f>
      </c>
      <c r="S15" s="36">
        <f t="shared" si="17"/>
      </c>
    </row>
    <row r="16" spans="1:19" ht="15" customHeight="1">
      <c r="A16" s="38">
        <f>+EOMONTH('TDS data input sheet'!E17,0)</f>
        <v>41090</v>
      </c>
      <c r="B16" s="38">
        <f>+'TDS data input sheet'!E17</f>
        <v>41061</v>
      </c>
      <c r="C16" s="39">
        <f t="shared" si="18"/>
        <v>6</v>
      </c>
      <c r="D16" s="40">
        <f>+'TDS data input sheet'!G17</f>
        <v>41128</v>
      </c>
      <c r="E16" s="39">
        <f t="shared" si="19"/>
        <v>8</v>
      </c>
      <c r="F16" s="39">
        <f t="shared" si="20"/>
        <v>2</v>
      </c>
      <c r="G16" s="39">
        <f t="shared" si="21"/>
        <v>14</v>
      </c>
      <c r="H16" s="39">
        <f t="shared" si="22"/>
        <v>67</v>
      </c>
      <c r="I16" s="41">
        <f t="shared" si="23"/>
        <v>2.2333333333333334</v>
      </c>
      <c r="J16" s="41">
        <f t="shared" si="24"/>
        <v>0.18611111111111112</v>
      </c>
      <c r="K16" s="39">
        <f t="shared" si="25"/>
        <v>0</v>
      </c>
      <c r="L16" s="39">
        <f t="shared" si="26"/>
        <v>0</v>
      </c>
      <c r="M16" s="39">
        <f t="shared" si="27"/>
        <v>2</v>
      </c>
      <c r="N16" s="40">
        <f t="shared" si="15"/>
        <v>41122</v>
      </c>
      <c r="O16" s="39">
        <f t="shared" si="16"/>
        <v>2</v>
      </c>
      <c r="P16" s="42" t="str">
        <f>+IF(Sheet2!S16="P","1%",IF(Sheet2!S16="h","1%",IF(Sheet2!S16="","20%","2%")))</f>
        <v>20%</v>
      </c>
      <c r="Q16" s="36" t="str">
        <f>+VLOOKUP('TDS data input sheet'!A17,Sheet2!$T$3:$BD$8,24,0)</f>
        <v>10%</v>
      </c>
      <c r="R16" s="36">
        <f>+LEFT('TDS data input sheet'!D17,4)</f>
      </c>
      <c r="S16" s="36">
        <f t="shared" si="17"/>
      </c>
    </row>
    <row r="17" spans="1:19" ht="15" customHeight="1">
      <c r="A17" s="38">
        <f>+EOMONTH('TDS data input sheet'!E18,0)</f>
        <v>41090</v>
      </c>
      <c r="B17" s="38">
        <f>+'TDS data input sheet'!E18</f>
        <v>41061</v>
      </c>
      <c r="C17" s="39">
        <f t="shared" si="18"/>
        <v>6</v>
      </c>
      <c r="D17" s="40">
        <f>+'TDS data input sheet'!G18</f>
        <v>41128</v>
      </c>
      <c r="E17" s="39">
        <f t="shared" si="19"/>
        <v>8</v>
      </c>
      <c r="F17" s="39">
        <f t="shared" si="20"/>
        <v>2</v>
      </c>
      <c r="G17" s="39">
        <f t="shared" si="21"/>
        <v>14</v>
      </c>
      <c r="H17" s="39">
        <f t="shared" si="22"/>
        <v>67</v>
      </c>
      <c r="I17" s="41">
        <f t="shared" si="23"/>
        <v>2.2333333333333334</v>
      </c>
      <c r="J17" s="41">
        <f t="shared" si="24"/>
        <v>0.18611111111111112</v>
      </c>
      <c r="K17" s="39">
        <f t="shared" si="25"/>
        <v>0</v>
      </c>
      <c r="L17" s="39">
        <f t="shared" si="26"/>
        <v>0</v>
      </c>
      <c r="M17" s="39">
        <f t="shared" si="27"/>
        <v>2</v>
      </c>
      <c r="N17" s="40">
        <f t="shared" si="15"/>
        <v>41122</v>
      </c>
      <c r="O17" s="39">
        <f t="shared" si="16"/>
        <v>2</v>
      </c>
      <c r="P17" s="42" t="str">
        <f>+IF(Sheet2!S17="P","1%",IF(Sheet2!S17="h","1%",IF(Sheet2!S17="","20%","2%")))</f>
        <v>20%</v>
      </c>
      <c r="Q17" s="36" t="str">
        <f>+VLOOKUP('TDS data input sheet'!A18,Sheet2!$T$3:$BD$8,24,0)</f>
        <v>10%</v>
      </c>
      <c r="R17" s="36">
        <f>+LEFT('TDS data input sheet'!D18,4)</f>
      </c>
      <c r="S17" s="36">
        <f t="shared" si="17"/>
      </c>
    </row>
    <row r="18" spans="1:19" ht="15" customHeight="1">
      <c r="A18" s="38">
        <f>+EOMONTH('TDS data input sheet'!E19,0)</f>
        <v>41090</v>
      </c>
      <c r="B18" s="38">
        <f>+'TDS data input sheet'!E19</f>
        <v>41061</v>
      </c>
      <c r="C18" s="39">
        <f t="shared" si="18"/>
        <v>6</v>
      </c>
      <c r="D18" s="40">
        <f>+'TDS data input sheet'!G19</f>
        <v>41128</v>
      </c>
      <c r="E18" s="39">
        <f t="shared" si="19"/>
        <v>8</v>
      </c>
      <c r="F18" s="39">
        <f t="shared" si="20"/>
        <v>2</v>
      </c>
      <c r="G18" s="39">
        <f t="shared" si="21"/>
        <v>14</v>
      </c>
      <c r="H18" s="39">
        <f t="shared" si="22"/>
        <v>67</v>
      </c>
      <c r="I18" s="41">
        <f t="shared" si="23"/>
        <v>2.2333333333333334</v>
      </c>
      <c r="J18" s="41">
        <f t="shared" si="24"/>
        <v>0.18611111111111112</v>
      </c>
      <c r="K18" s="39">
        <f t="shared" si="25"/>
        <v>0</v>
      </c>
      <c r="L18" s="39">
        <f t="shared" si="26"/>
        <v>0</v>
      </c>
      <c r="M18" s="39">
        <f t="shared" si="27"/>
        <v>2</v>
      </c>
      <c r="N18" s="40">
        <f t="shared" si="15"/>
        <v>41122</v>
      </c>
      <c r="O18" s="39">
        <f t="shared" si="16"/>
        <v>2</v>
      </c>
      <c r="P18" s="42" t="str">
        <f>+IF(Sheet2!S18="P","1%",IF(Sheet2!S18="h","1%",IF(Sheet2!S18="","20%","2%")))</f>
        <v>20%</v>
      </c>
      <c r="Q18" s="36" t="str">
        <f>+VLOOKUP('TDS data input sheet'!A19,Sheet2!$T$3:$BD$8,24,0)</f>
        <v>10%</v>
      </c>
      <c r="R18" s="36">
        <f>+LEFT('TDS data input sheet'!D19,4)</f>
      </c>
      <c r="S18" s="36">
        <f t="shared" si="17"/>
      </c>
    </row>
    <row r="19" spans="1:19" ht="15" customHeight="1">
      <c r="A19" s="38">
        <f>+EOMONTH('TDS data input sheet'!E20,0)</f>
        <v>41090</v>
      </c>
      <c r="B19" s="38">
        <f>+'TDS data input sheet'!E20</f>
        <v>41061</v>
      </c>
      <c r="C19" s="39">
        <f t="shared" si="18"/>
        <v>6</v>
      </c>
      <c r="D19" s="40">
        <f>+'TDS data input sheet'!G20</f>
        <v>41128</v>
      </c>
      <c r="E19" s="39">
        <f t="shared" si="19"/>
        <v>8</v>
      </c>
      <c r="F19" s="39">
        <f t="shared" si="20"/>
        <v>2</v>
      </c>
      <c r="G19" s="39">
        <f t="shared" si="21"/>
        <v>14</v>
      </c>
      <c r="H19" s="39">
        <f t="shared" si="22"/>
        <v>67</v>
      </c>
      <c r="I19" s="41">
        <f t="shared" si="23"/>
        <v>2.2333333333333334</v>
      </c>
      <c r="J19" s="41">
        <f t="shared" si="24"/>
        <v>0.18611111111111112</v>
      </c>
      <c r="K19" s="39">
        <f t="shared" si="25"/>
        <v>0</v>
      </c>
      <c r="L19" s="39">
        <f t="shared" si="26"/>
        <v>0</v>
      </c>
      <c r="M19" s="39">
        <f t="shared" si="27"/>
        <v>2</v>
      </c>
      <c r="N19" s="40">
        <f t="shared" si="15"/>
        <v>41122</v>
      </c>
      <c r="O19" s="39">
        <f t="shared" si="16"/>
        <v>2</v>
      </c>
      <c r="P19" s="42" t="str">
        <f>+IF(Sheet2!S19="P","1%",IF(Sheet2!S19="h","1%",IF(Sheet2!S19="","20%","2%")))</f>
        <v>20%</v>
      </c>
      <c r="Q19" s="36" t="str">
        <f>+VLOOKUP('TDS data input sheet'!A20,Sheet2!$T$3:$BD$8,24,0)</f>
        <v>10%</v>
      </c>
      <c r="R19" s="36">
        <f>+LEFT('TDS data input sheet'!D20,4)</f>
      </c>
      <c r="S19" s="36">
        <f t="shared" si="17"/>
      </c>
    </row>
    <row r="20" spans="1:22" ht="15" customHeight="1">
      <c r="A20" s="38">
        <f>+EOMONTH('TDS data input sheet'!E21,0)</f>
        <v>41090</v>
      </c>
      <c r="B20" s="38">
        <f>+'TDS data input sheet'!E21</f>
        <v>41061</v>
      </c>
      <c r="C20" s="39">
        <f t="shared" si="18"/>
        <v>6</v>
      </c>
      <c r="D20" s="40">
        <f>+'TDS data input sheet'!G21</f>
        <v>41128</v>
      </c>
      <c r="E20" s="39">
        <f t="shared" si="19"/>
        <v>8</v>
      </c>
      <c r="F20" s="39">
        <f t="shared" si="20"/>
        <v>2</v>
      </c>
      <c r="G20" s="39">
        <f t="shared" si="21"/>
        <v>14</v>
      </c>
      <c r="H20" s="39">
        <f t="shared" si="22"/>
        <v>67</v>
      </c>
      <c r="I20" s="41">
        <f t="shared" si="23"/>
        <v>2.2333333333333334</v>
      </c>
      <c r="J20" s="41">
        <f t="shared" si="24"/>
        <v>0.18611111111111112</v>
      </c>
      <c r="K20" s="39">
        <f t="shared" si="25"/>
        <v>0</v>
      </c>
      <c r="L20" s="39">
        <f t="shared" si="26"/>
        <v>0</v>
      </c>
      <c r="M20" s="39">
        <f t="shared" si="27"/>
        <v>2</v>
      </c>
      <c r="N20" s="40">
        <f t="shared" si="15"/>
        <v>41122</v>
      </c>
      <c r="O20" s="39">
        <f t="shared" si="16"/>
        <v>2</v>
      </c>
      <c r="P20" s="42" t="str">
        <f>+IF(Sheet2!S20="P","1%",IF(Sheet2!S20="h","1%",IF(Sheet2!S20="","20%","2%")))</f>
        <v>20%</v>
      </c>
      <c r="Q20" s="36" t="str">
        <f>+VLOOKUP('TDS data input sheet'!A21,Sheet2!$T$3:$BD$8,24,0)</f>
        <v>10%</v>
      </c>
      <c r="R20" s="36">
        <f>+LEFT('TDS data input sheet'!D21,4)</f>
      </c>
      <c r="S20" s="36">
        <f t="shared" si="17"/>
      </c>
      <c r="V20" s="53">
        <v>40709</v>
      </c>
    </row>
    <row r="21" spans="1:22" ht="15" customHeight="1">
      <c r="A21" s="38">
        <f>+EOMONTH('TDS data input sheet'!E22,0)</f>
        <v>41090</v>
      </c>
      <c r="B21" s="38">
        <f>+'TDS data input sheet'!E22</f>
        <v>41061</v>
      </c>
      <c r="C21" s="39">
        <f t="shared" si="18"/>
        <v>6</v>
      </c>
      <c r="D21" s="40">
        <f>+'TDS data input sheet'!G22</f>
        <v>41128</v>
      </c>
      <c r="E21" s="39">
        <f t="shared" si="19"/>
        <v>8</v>
      </c>
      <c r="F21" s="39">
        <f t="shared" si="20"/>
        <v>2</v>
      </c>
      <c r="G21" s="39">
        <f t="shared" si="21"/>
        <v>14</v>
      </c>
      <c r="H21" s="39">
        <f t="shared" si="22"/>
        <v>67</v>
      </c>
      <c r="I21" s="41">
        <f t="shared" si="23"/>
        <v>2.2333333333333334</v>
      </c>
      <c r="J21" s="41">
        <f t="shared" si="24"/>
        <v>0.18611111111111112</v>
      </c>
      <c r="K21" s="39">
        <f t="shared" si="25"/>
        <v>0</v>
      </c>
      <c r="L21" s="39">
        <f t="shared" si="26"/>
        <v>0</v>
      </c>
      <c r="M21" s="39">
        <f t="shared" si="27"/>
        <v>2</v>
      </c>
      <c r="N21" s="40">
        <f t="shared" si="15"/>
        <v>41122</v>
      </c>
      <c r="O21" s="39">
        <f t="shared" si="16"/>
        <v>2</v>
      </c>
      <c r="P21" s="42" t="str">
        <f>+IF(Sheet2!S21="P","1%",IF(Sheet2!S21="h","1%",IF(Sheet2!S21="","20%","2%")))</f>
        <v>20%</v>
      </c>
      <c r="Q21" s="36" t="str">
        <f>+VLOOKUP('TDS data input sheet'!A22,Sheet2!$T$3:$BD$8,24,0)</f>
        <v>10%</v>
      </c>
      <c r="R21" s="36">
        <f>+LEFT('TDS data input sheet'!D22,4)</f>
      </c>
      <c r="S21" s="36">
        <f t="shared" si="17"/>
      </c>
      <c r="V21" s="53">
        <v>40739</v>
      </c>
    </row>
    <row r="22" spans="1:22" ht="15" customHeight="1">
      <c r="A22" s="38">
        <f>+EOMONTH('TDS data input sheet'!E23,0)</f>
        <v>41090</v>
      </c>
      <c r="B22" s="38">
        <f>+'TDS data input sheet'!E23</f>
        <v>41061</v>
      </c>
      <c r="C22" s="39">
        <f t="shared" si="18"/>
        <v>6</v>
      </c>
      <c r="D22" s="40">
        <f>+'TDS data input sheet'!G23</f>
        <v>41128</v>
      </c>
      <c r="E22" s="39">
        <f t="shared" si="19"/>
        <v>8</v>
      </c>
      <c r="F22" s="39">
        <f t="shared" si="20"/>
        <v>2</v>
      </c>
      <c r="G22" s="39">
        <f t="shared" si="21"/>
        <v>14</v>
      </c>
      <c r="H22" s="39">
        <f t="shared" si="22"/>
        <v>67</v>
      </c>
      <c r="I22" s="41">
        <f t="shared" si="23"/>
        <v>2.2333333333333334</v>
      </c>
      <c r="J22" s="41">
        <f t="shared" si="24"/>
        <v>0.18611111111111112</v>
      </c>
      <c r="K22" s="39">
        <f t="shared" si="25"/>
        <v>0</v>
      </c>
      <c r="L22" s="39">
        <f t="shared" si="26"/>
        <v>0</v>
      </c>
      <c r="M22" s="39">
        <f t="shared" si="27"/>
        <v>2</v>
      </c>
      <c r="N22" s="40">
        <f t="shared" si="15"/>
        <v>41122</v>
      </c>
      <c r="O22" s="39">
        <f t="shared" si="16"/>
        <v>2</v>
      </c>
      <c r="P22" s="42" t="str">
        <f>+IF(Sheet2!S22="P","1%",IF(Sheet2!S22="h","1%",IF(Sheet2!S22="","20%","2%")))</f>
        <v>20%</v>
      </c>
      <c r="Q22" s="36" t="str">
        <f>+VLOOKUP('TDS data input sheet'!A23,Sheet2!$T$3:$BD$8,24,0)</f>
        <v>10%</v>
      </c>
      <c r="R22" s="36">
        <f>+LEFT('TDS data input sheet'!D23,4)</f>
      </c>
      <c r="S22" s="36">
        <f t="shared" si="17"/>
      </c>
      <c r="V22" s="39">
        <f>+V21-V20+1</f>
        <v>31</v>
      </c>
    </row>
    <row r="23" spans="1:22" ht="15" customHeight="1">
      <c r="A23" s="38">
        <f>+EOMONTH('TDS data input sheet'!E24,0)</f>
        <v>41090</v>
      </c>
      <c r="B23" s="38">
        <f>+'TDS data input sheet'!E24</f>
        <v>41061</v>
      </c>
      <c r="C23" s="39">
        <f t="shared" si="18"/>
        <v>6</v>
      </c>
      <c r="D23" s="40">
        <f>+'TDS data input sheet'!G24</f>
        <v>41128</v>
      </c>
      <c r="E23" s="39">
        <f t="shared" si="19"/>
        <v>8</v>
      </c>
      <c r="F23" s="39">
        <f t="shared" si="20"/>
        <v>2</v>
      </c>
      <c r="G23" s="39">
        <f t="shared" si="21"/>
        <v>14</v>
      </c>
      <c r="H23" s="39">
        <f t="shared" si="22"/>
        <v>67</v>
      </c>
      <c r="I23" s="41">
        <f t="shared" si="23"/>
        <v>2.2333333333333334</v>
      </c>
      <c r="J23" s="41">
        <f t="shared" si="24"/>
        <v>0.18611111111111112</v>
      </c>
      <c r="K23" s="39">
        <f t="shared" si="25"/>
        <v>0</v>
      </c>
      <c r="L23" s="39">
        <f t="shared" si="26"/>
        <v>0</v>
      </c>
      <c r="M23" s="39">
        <f t="shared" si="27"/>
        <v>2</v>
      </c>
      <c r="N23" s="40">
        <f t="shared" si="15"/>
        <v>41122</v>
      </c>
      <c r="O23" s="39">
        <f t="shared" si="16"/>
        <v>2</v>
      </c>
      <c r="P23" s="42" t="str">
        <f>+IF(Sheet2!S23="P","1%",IF(Sheet2!S23="h","1%",IF(Sheet2!S23="","20%","2%")))</f>
        <v>20%</v>
      </c>
      <c r="Q23" s="36" t="str">
        <f>+VLOOKUP('TDS data input sheet'!A24,Sheet2!$T$3:$BD$8,24,0)</f>
        <v>10%</v>
      </c>
      <c r="R23" s="36">
        <f>+LEFT('TDS data input sheet'!D24,4)</f>
      </c>
      <c r="S23" s="36">
        <f t="shared" si="17"/>
      </c>
      <c r="V23" s="36">
        <f>+V22/30</f>
        <v>1.0333333333333334</v>
      </c>
    </row>
    <row r="24" spans="1:19" ht="15" customHeight="1">
      <c r="A24" s="38">
        <f>+EOMONTH('TDS data input sheet'!E25,0)</f>
        <v>41090</v>
      </c>
      <c r="B24" s="38">
        <f>+'TDS data input sheet'!E25</f>
        <v>41061</v>
      </c>
      <c r="C24" s="39">
        <f t="shared" si="18"/>
        <v>6</v>
      </c>
      <c r="D24" s="40">
        <f>+'TDS data input sheet'!G25</f>
        <v>41128</v>
      </c>
      <c r="E24" s="39">
        <f t="shared" si="19"/>
        <v>8</v>
      </c>
      <c r="F24" s="39">
        <f t="shared" si="20"/>
        <v>2</v>
      </c>
      <c r="G24" s="39">
        <f t="shared" si="21"/>
        <v>14</v>
      </c>
      <c r="H24" s="39">
        <f t="shared" si="22"/>
        <v>67</v>
      </c>
      <c r="I24" s="41">
        <f t="shared" si="23"/>
        <v>2.2333333333333334</v>
      </c>
      <c r="J24" s="41">
        <f t="shared" si="24"/>
        <v>0.18611111111111112</v>
      </c>
      <c r="K24" s="39">
        <f t="shared" si="25"/>
        <v>0</v>
      </c>
      <c r="L24" s="39">
        <f t="shared" si="26"/>
        <v>0</v>
      </c>
      <c r="M24" s="39">
        <f t="shared" si="27"/>
        <v>2</v>
      </c>
      <c r="N24" s="40">
        <f t="shared" si="15"/>
        <v>41122</v>
      </c>
      <c r="O24" s="39">
        <f t="shared" si="16"/>
        <v>2</v>
      </c>
      <c r="P24" s="42" t="str">
        <f>+IF(Sheet2!S24="P","1%",IF(Sheet2!S24="h","1%",IF(Sheet2!S24="","20%","2%")))</f>
        <v>20%</v>
      </c>
      <c r="Q24" s="36" t="str">
        <f>+VLOOKUP('TDS data input sheet'!A25,Sheet2!$T$3:$BD$8,24,0)</f>
        <v>10%</v>
      </c>
      <c r="R24" s="36">
        <f>+LEFT('TDS data input sheet'!D25,4)</f>
      </c>
      <c r="S24" s="36">
        <f t="shared" si="17"/>
      </c>
    </row>
    <row r="25" spans="1:19" ht="15" customHeight="1">
      <c r="A25" s="38">
        <f>+EOMONTH('TDS data input sheet'!E26,0)</f>
        <v>41090</v>
      </c>
      <c r="B25" s="38">
        <f>+'TDS data input sheet'!E26</f>
        <v>41061</v>
      </c>
      <c r="C25" s="39">
        <f t="shared" si="18"/>
        <v>6</v>
      </c>
      <c r="D25" s="40">
        <f>+'TDS data input sheet'!G26</f>
        <v>41128</v>
      </c>
      <c r="E25" s="39">
        <f t="shared" si="19"/>
        <v>8</v>
      </c>
      <c r="F25" s="39">
        <f t="shared" si="20"/>
        <v>2</v>
      </c>
      <c r="G25" s="39">
        <f t="shared" si="21"/>
        <v>14</v>
      </c>
      <c r="H25" s="39">
        <f t="shared" si="22"/>
        <v>67</v>
      </c>
      <c r="I25" s="41">
        <f t="shared" si="23"/>
        <v>2.2333333333333334</v>
      </c>
      <c r="J25" s="41">
        <f t="shared" si="24"/>
        <v>0.18611111111111112</v>
      </c>
      <c r="K25" s="39">
        <f t="shared" si="25"/>
        <v>0</v>
      </c>
      <c r="L25" s="39">
        <f t="shared" si="26"/>
        <v>0</v>
      </c>
      <c r="M25" s="39">
        <f t="shared" si="27"/>
        <v>2</v>
      </c>
      <c r="N25" s="40">
        <f t="shared" si="15"/>
        <v>41122</v>
      </c>
      <c r="O25" s="39">
        <f t="shared" si="16"/>
        <v>2</v>
      </c>
      <c r="P25" s="42" t="str">
        <f>+IF(Sheet2!S25="P","1%",IF(Sheet2!S25="h","1%",IF(Sheet2!S25="","20%","2%")))</f>
        <v>20%</v>
      </c>
      <c r="Q25" s="36" t="str">
        <f>+VLOOKUP('TDS data input sheet'!A26,Sheet2!$T$3:$BD$8,24,0)</f>
        <v>10%</v>
      </c>
      <c r="R25" s="36">
        <f>+LEFT('TDS data input sheet'!D26,4)</f>
      </c>
      <c r="S25" s="36">
        <f t="shared" si="17"/>
      </c>
    </row>
    <row r="26" spans="1:19" ht="15" customHeight="1">
      <c r="A26" s="38">
        <f>+EOMONTH('TDS data input sheet'!E27,0)</f>
        <v>41090</v>
      </c>
      <c r="B26" s="38">
        <f>+'TDS data input sheet'!E27</f>
        <v>41061</v>
      </c>
      <c r="C26" s="39">
        <f t="shared" si="18"/>
        <v>6</v>
      </c>
      <c r="D26" s="40">
        <f>+'TDS data input sheet'!G27</f>
        <v>41128</v>
      </c>
      <c r="E26" s="39">
        <f t="shared" si="19"/>
        <v>8</v>
      </c>
      <c r="F26" s="39">
        <f t="shared" si="20"/>
        <v>2</v>
      </c>
      <c r="G26" s="39">
        <f t="shared" si="21"/>
        <v>14</v>
      </c>
      <c r="H26" s="39">
        <f t="shared" si="22"/>
        <v>67</v>
      </c>
      <c r="I26" s="41">
        <f t="shared" si="23"/>
        <v>2.2333333333333334</v>
      </c>
      <c r="J26" s="41">
        <f t="shared" si="24"/>
        <v>0.18611111111111112</v>
      </c>
      <c r="K26" s="39">
        <f t="shared" si="25"/>
        <v>0</v>
      </c>
      <c r="L26" s="39">
        <f t="shared" si="26"/>
        <v>0</v>
      </c>
      <c r="M26" s="39">
        <f t="shared" si="27"/>
        <v>2</v>
      </c>
      <c r="N26" s="40">
        <f t="shared" si="15"/>
        <v>41122</v>
      </c>
      <c r="O26" s="39">
        <f t="shared" si="16"/>
        <v>2</v>
      </c>
      <c r="P26" s="42" t="str">
        <f>+IF(Sheet2!S26="P","1%",IF(Sheet2!S26="h","1%",IF(Sheet2!S26="","20%","2%")))</f>
        <v>20%</v>
      </c>
      <c r="Q26" s="36" t="str">
        <f>+VLOOKUP('TDS data input sheet'!A27,Sheet2!$T$3:$BD$8,24,0)</f>
        <v>10%</v>
      </c>
      <c r="R26" s="36">
        <f>+LEFT('TDS data input sheet'!D27,4)</f>
      </c>
      <c r="S26" s="36">
        <f t="shared" si="17"/>
      </c>
    </row>
    <row r="27" spans="1:19" ht="15" customHeight="1">
      <c r="A27" s="38">
        <f>+EOMONTH('TDS data input sheet'!E28,0)</f>
        <v>41090</v>
      </c>
      <c r="B27" s="38">
        <f>+'TDS data input sheet'!E28</f>
        <v>41061</v>
      </c>
      <c r="C27" s="39">
        <f t="shared" si="18"/>
        <v>6</v>
      </c>
      <c r="D27" s="40">
        <f>+'TDS data input sheet'!G28</f>
        <v>41128</v>
      </c>
      <c r="E27" s="39">
        <f t="shared" si="19"/>
        <v>8</v>
      </c>
      <c r="F27" s="39">
        <f t="shared" si="20"/>
        <v>2</v>
      </c>
      <c r="G27" s="39">
        <f t="shared" si="21"/>
        <v>14</v>
      </c>
      <c r="H27" s="39">
        <f t="shared" si="22"/>
        <v>67</v>
      </c>
      <c r="I27" s="41">
        <f t="shared" si="23"/>
        <v>2.2333333333333334</v>
      </c>
      <c r="J27" s="41">
        <f t="shared" si="24"/>
        <v>0.18611111111111112</v>
      </c>
      <c r="K27" s="39">
        <f t="shared" si="25"/>
        <v>0</v>
      </c>
      <c r="L27" s="39">
        <f t="shared" si="26"/>
        <v>0</v>
      </c>
      <c r="M27" s="39">
        <f t="shared" si="27"/>
        <v>2</v>
      </c>
      <c r="N27" s="40">
        <f t="shared" si="15"/>
        <v>41122</v>
      </c>
      <c r="O27" s="39">
        <f t="shared" si="16"/>
        <v>2</v>
      </c>
      <c r="P27" s="42" t="str">
        <f>+IF(Sheet2!S27="P","1%",IF(Sheet2!S27="h","1%",IF(Sheet2!S27="","20%","2%")))</f>
        <v>20%</v>
      </c>
      <c r="Q27" s="36" t="str">
        <f>+VLOOKUP('TDS data input sheet'!A28,Sheet2!$T$3:$BD$8,24,0)</f>
        <v>10%</v>
      </c>
      <c r="R27" s="36">
        <f>+LEFT('TDS data input sheet'!D28,4)</f>
      </c>
      <c r="S27" s="36">
        <f t="shared" si="17"/>
      </c>
    </row>
    <row r="28" spans="1:19" ht="15" customHeight="1">
      <c r="A28" s="38">
        <f>+EOMONTH('TDS data input sheet'!E29,0)</f>
        <v>41090</v>
      </c>
      <c r="B28" s="38">
        <f>+'TDS data input sheet'!E29</f>
        <v>41061</v>
      </c>
      <c r="C28" s="39">
        <f t="shared" si="18"/>
        <v>6</v>
      </c>
      <c r="D28" s="40">
        <f>+'TDS data input sheet'!G29</f>
        <v>41128</v>
      </c>
      <c r="E28" s="39">
        <f t="shared" si="19"/>
        <v>8</v>
      </c>
      <c r="F28" s="39">
        <f t="shared" si="20"/>
        <v>2</v>
      </c>
      <c r="G28" s="39">
        <f t="shared" si="21"/>
        <v>14</v>
      </c>
      <c r="H28" s="39">
        <f t="shared" si="22"/>
        <v>67</v>
      </c>
      <c r="I28" s="41">
        <f t="shared" si="23"/>
        <v>2.2333333333333334</v>
      </c>
      <c r="J28" s="41">
        <f t="shared" si="24"/>
        <v>0.18611111111111112</v>
      </c>
      <c r="K28" s="39">
        <f t="shared" si="25"/>
        <v>0</v>
      </c>
      <c r="L28" s="39">
        <f t="shared" si="26"/>
        <v>0</v>
      </c>
      <c r="M28" s="39">
        <f t="shared" si="27"/>
        <v>2</v>
      </c>
      <c r="N28" s="40">
        <f t="shared" si="15"/>
        <v>41122</v>
      </c>
      <c r="O28" s="39">
        <f t="shared" si="16"/>
        <v>2</v>
      </c>
      <c r="P28" s="42" t="str">
        <f>+IF(Sheet2!S28="P","1%",IF(Sheet2!S28="h","1%",IF(Sheet2!S28="","20%","2%")))</f>
        <v>20%</v>
      </c>
      <c r="Q28" s="36" t="str">
        <f>+VLOOKUP('TDS data input sheet'!A29,Sheet2!$T$3:$BD$8,24,0)</f>
        <v>10%</v>
      </c>
      <c r="R28" s="36">
        <f>+LEFT('TDS data input sheet'!D29,4)</f>
      </c>
      <c r="S28" s="36">
        <f t="shared" si="17"/>
      </c>
    </row>
    <row r="29" spans="1:19" ht="15" customHeight="1">
      <c r="A29" s="38">
        <f>+EOMONTH('TDS data input sheet'!E30,0)</f>
        <v>41090</v>
      </c>
      <c r="B29" s="38">
        <f>+'TDS data input sheet'!E30</f>
        <v>41061</v>
      </c>
      <c r="C29" s="39">
        <f t="shared" si="18"/>
        <v>6</v>
      </c>
      <c r="D29" s="40">
        <f>+'TDS data input sheet'!G30</f>
        <v>41128</v>
      </c>
      <c r="E29" s="39">
        <f t="shared" si="19"/>
        <v>8</v>
      </c>
      <c r="F29" s="39">
        <f t="shared" si="20"/>
        <v>2</v>
      </c>
      <c r="G29" s="39">
        <f t="shared" si="21"/>
        <v>14</v>
      </c>
      <c r="H29" s="39">
        <f t="shared" si="22"/>
        <v>67</v>
      </c>
      <c r="I29" s="41">
        <f t="shared" si="23"/>
        <v>2.2333333333333334</v>
      </c>
      <c r="J29" s="41">
        <f t="shared" si="24"/>
        <v>0.18611111111111112</v>
      </c>
      <c r="K29" s="39">
        <f t="shared" si="25"/>
        <v>0</v>
      </c>
      <c r="L29" s="39">
        <f t="shared" si="26"/>
        <v>0</v>
      </c>
      <c r="M29" s="39">
        <f t="shared" si="27"/>
        <v>2</v>
      </c>
      <c r="N29" s="40">
        <f t="shared" si="15"/>
        <v>41122</v>
      </c>
      <c r="O29" s="39">
        <f t="shared" si="16"/>
        <v>2</v>
      </c>
      <c r="P29" s="42" t="str">
        <f>+IF(Sheet2!S29="P","1%",IF(Sheet2!S29="h","1%",IF(Sheet2!S29="","20%","2%")))</f>
        <v>20%</v>
      </c>
      <c r="Q29" s="36" t="str">
        <f>+VLOOKUP('TDS data input sheet'!A30,Sheet2!$T$3:$BD$8,24,0)</f>
        <v>10%</v>
      </c>
      <c r="R29" s="36">
        <f>+LEFT('TDS data input sheet'!D30,4)</f>
      </c>
      <c r="S29" s="36">
        <f t="shared" si="17"/>
      </c>
    </row>
    <row r="30" spans="1:19" ht="15" customHeight="1">
      <c r="A30" s="38">
        <f>+EOMONTH('TDS data input sheet'!E31,0)</f>
        <v>41090</v>
      </c>
      <c r="B30" s="38">
        <f>+'TDS data input sheet'!E31</f>
        <v>41061</v>
      </c>
      <c r="C30" s="39">
        <f t="shared" si="18"/>
        <v>6</v>
      </c>
      <c r="D30" s="40">
        <f>+'TDS data input sheet'!G31</f>
        <v>41128</v>
      </c>
      <c r="E30" s="39">
        <f t="shared" si="19"/>
        <v>8</v>
      </c>
      <c r="F30" s="39">
        <f t="shared" si="20"/>
        <v>2</v>
      </c>
      <c r="G30" s="39">
        <f t="shared" si="21"/>
        <v>14</v>
      </c>
      <c r="H30" s="39">
        <f t="shared" si="22"/>
        <v>67</v>
      </c>
      <c r="I30" s="41">
        <f t="shared" si="23"/>
        <v>2.2333333333333334</v>
      </c>
      <c r="J30" s="41">
        <f t="shared" si="24"/>
        <v>0.18611111111111112</v>
      </c>
      <c r="K30" s="39">
        <f t="shared" si="25"/>
        <v>0</v>
      </c>
      <c r="L30" s="39">
        <f t="shared" si="26"/>
        <v>0</v>
      </c>
      <c r="M30" s="39">
        <f t="shared" si="27"/>
        <v>2</v>
      </c>
      <c r="N30" s="40">
        <f t="shared" si="15"/>
        <v>41122</v>
      </c>
      <c r="O30" s="39">
        <f t="shared" si="16"/>
        <v>2</v>
      </c>
      <c r="P30" s="42" t="str">
        <f>+IF(Sheet2!S30="P","1%",IF(Sheet2!S30="h","1%",IF(Sheet2!S30="","20%","2%")))</f>
        <v>20%</v>
      </c>
      <c r="Q30" s="36" t="str">
        <f>+VLOOKUP('TDS data input sheet'!A31,Sheet2!$T$3:$BD$8,24,0)</f>
        <v>10%</v>
      </c>
      <c r="R30" s="36">
        <f>+LEFT('TDS data input sheet'!D31,4)</f>
      </c>
      <c r="S30" s="36">
        <f t="shared" si="17"/>
      </c>
    </row>
    <row r="31" spans="1:19" ht="15" customHeight="1">
      <c r="A31" s="38">
        <f>+EOMONTH('TDS data input sheet'!E32,0)</f>
        <v>41090</v>
      </c>
      <c r="B31" s="38">
        <f>+'TDS data input sheet'!E32</f>
        <v>41061</v>
      </c>
      <c r="C31" s="39">
        <f t="shared" si="18"/>
        <v>6</v>
      </c>
      <c r="D31" s="40">
        <f>+'TDS data input sheet'!G32</f>
        <v>41128</v>
      </c>
      <c r="E31" s="39">
        <f t="shared" si="19"/>
        <v>8</v>
      </c>
      <c r="F31" s="39">
        <f t="shared" si="20"/>
        <v>2</v>
      </c>
      <c r="G31" s="39">
        <f t="shared" si="21"/>
        <v>14</v>
      </c>
      <c r="H31" s="39">
        <f t="shared" si="22"/>
        <v>67</v>
      </c>
      <c r="I31" s="41">
        <f t="shared" si="23"/>
        <v>2.2333333333333334</v>
      </c>
      <c r="J31" s="41">
        <f t="shared" si="24"/>
        <v>0.18611111111111112</v>
      </c>
      <c r="K31" s="39">
        <f t="shared" si="25"/>
        <v>0</v>
      </c>
      <c r="L31" s="39">
        <f t="shared" si="26"/>
        <v>0</v>
      </c>
      <c r="M31" s="39">
        <f t="shared" si="27"/>
        <v>2</v>
      </c>
      <c r="N31" s="40">
        <f t="shared" si="15"/>
        <v>41122</v>
      </c>
      <c r="O31" s="39">
        <f t="shared" si="16"/>
        <v>2</v>
      </c>
      <c r="P31" s="42" t="str">
        <f>+IF(Sheet2!S31="P","1%",IF(Sheet2!S31="h","1%",IF(Sheet2!S31="","20%","2%")))</f>
        <v>20%</v>
      </c>
      <c r="Q31" s="36" t="str">
        <f>+VLOOKUP('TDS data input sheet'!A32,Sheet2!$T$3:$BD$8,24,0)</f>
        <v>10%</v>
      </c>
      <c r="R31" s="36">
        <f>+LEFT('TDS data input sheet'!D32,4)</f>
      </c>
      <c r="S31" s="36">
        <f t="shared" si="17"/>
      </c>
    </row>
    <row r="32" spans="1:19" ht="15" customHeight="1">
      <c r="A32" s="38">
        <f>+EOMONTH('TDS data input sheet'!E33,0)</f>
        <v>41090</v>
      </c>
      <c r="B32" s="38">
        <f>+'TDS data input sheet'!E33</f>
        <v>41061</v>
      </c>
      <c r="C32" s="39">
        <f t="shared" si="18"/>
        <v>6</v>
      </c>
      <c r="D32" s="40">
        <f>+'TDS data input sheet'!G33</f>
        <v>41128</v>
      </c>
      <c r="E32" s="39">
        <f t="shared" si="19"/>
        <v>8</v>
      </c>
      <c r="F32" s="39">
        <f t="shared" si="20"/>
        <v>2</v>
      </c>
      <c r="G32" s="39">
        <f t="shared" si="21"/>
        <v>14</v>
      </c>
      <c r="H32" s="39">
        <f t="shared" si="22"/>
        <v>67</v>
      </c>
      <c r="I32" s="41">
        <f t="shared" si="23"/>
        <v>2.2333333333333334</v>
      </c>
      <c r="J32" s="41">
        <f t="shared" si="24"/>
        <v>0.18611111111111112</v>
      </c>
      <c r="K32" s="39">
        <f t="shared" si="25"/>
        <v>0</v>
      </c>
      <c r="L32" s="39">
        <f t="shared" si="26"/>
        <v>0</v>
      </c>
      <c r="M32" s="39">
        <f t="shared" si="27"/>
        <v>2</v>
      </c>
      <c r="N32" s="40">
        <f t="shared" si="15"/>
        <v>41122</v>
      </c>
      <c r="O32" s="39">
        <f t="shared" si="16"/>
        <v>2</v>
      </c>
      <c r="P32" s="42" t="str">
        <f>+IF(Sheet2!S32="P","1%",IF(Sheet2!S32="h","1%",IF(Sheet2!S32="","20%","2%")))</f>
        <v>20%</v>
      </c>
      <c r="Q32" s="36" t="str">
        <f>+VLOOKUP('TDS data input sheet'!A33,Sheet2!$T$3:$BD$8,24,0)</f>
        <v>10%</v>
      </c>
      <c r="R32" s="36">
        <f>+LEFT('TDS data input sheet'!D33,4)</f>
      </c>
      <c r="S32" s="36">
        <f t="shared" si="17"/>
      </c>
    </row>
    <row r="33" spans="1:19" ht="15" customHeight="1">
      <c r="A33" s="38">
        <f>+EOMONTH('TDS data input sheet'!E34,0)</f>
        <v>41090</v>
      </c>
      <c r="B33" s="38">
        <f>+'TDS data input sheet'!E34</f>
        <v>41061</v>
      </c>
      <c r="C33" s="39">
        <f t="shared" si="18"/>
        <v>6</v>
      </c>
      <c r="D33" s="40">
        <f>+'TDS data input sheet'!G34</f>
        <v>41128</v>
      </c>
      <c r="E33" s="39">
        <f t="shared" si="19"/>
        <v>8</v>
      </c>
      <c r="F33" s="39">
        <f t="shared" si="20"/>
        <v>2</v>
      </c>
      <c r="G33" s="39">
        <f t="shared" si="21"/>
        <v>14</v>
      </c>
      <c r="H33" s="39">
        <f t="shared" si="22"/>
        <v>67</v>
      </c>
      <c r="I33" s="41">
        <f t="shared" si="23"/>
        <v>2.2333333333333334</v>
      </c>
      <c r="J33" s="41">
        <f t="shared" si="24"/>
        <v>0.18611111111111112</v>
      </c>
      <c r="K33" s="39">
        <f t="shared" si="25"/>
        <v>0</v>
      </c>
      <c r="L33" s="39">
        <f t="shared" si="26"/>
        <v>0</v>
      </c>
      <c r="M33" s="39">
        <f t="shared" si="27"/>
        <v>2</v>
      </c>
      <c r="N33" s="40">
        <f t="shared" si="15"/>
        <v>41122</v>
      </c>
      <c r="O33" s="39">
        <f t="shared" si="16"/>
        <v>2</v>
      </c>
      <c r="P33" s="42" t="str">
        <f>+IF(Sheet2!S33="P","1%",IF(Sheet2!S33="h","1%",IF(Sheet2!S33="","20%","2%")))</f>
        <v>20%</v>
      </c>
      <c r="Q33" s="36" t="str">
        <f>+VLOOKUP('TDS data input sheet'!A34,Sheet2!$T$3:$BD$8,24,0)</f>
        <v>10%</v>
      </c>
      <c r="R33" s="36">
        <f>+LEFT('TDS data input sheet'!D34,4)</f>
      </c>
      <c r="S33" s="36">
        <f t="shared" si="17"/>
      </c>
    </row>
    <row r="34" spans="1:19" ht="15" customHeight="1">
      <c r="A34" s="38">
        <f>+EOMONTH('TDS data input sheet'!E35,0)</f>
        <v>41090</v>
      </c>
      <c r="B34" s="38">
        <f>+'TDS data input sheet'!E35</f>
        <v>41061</v>
      </c>
      <c r="C34" s="39">
        <f t="shared" si="18"/>
        <v>6</v>
      </c>
      <c r="D34" s="40">
        <f>+'TDS data input sheet'!G35</f>
        <v>41128</v>
      </c>
      <c r="E34" s="39">
        <f t="shared" si="19"/>
        <v>8</v>
      </c>
      <c r="F34" s="39">
        <f t="shared" si="20"/>
        <v>2</v>
      </c>
      <c r="G34" s="39">
        <f t="shared" si="21"/>
        <v>14</v>
      </c>
      <c r="H34" s="39">
        <f t="shared" si="22"/>
        <v>67</v>
      </c>
      <c r="I34" s="41">
        <f t="shared" si="23"/>
        <v>2.2333333333333334</v>
      </c>
      <c r="J34" s="41">
        <f t="shared" si="24"/>
        <v>0.18611111111111112</v>
      </c>
      <c r="K34" s="39">
        <f t="shared" si="25"/>
        <v>0</v>
      </c>
      <c r="L34" s="39">
        <f t="shared" si="26"/>
        <v>0</v>
      </c>
      <c r="M34" s="39">
        <f t="shared" si="27"/>
        <v>2</v>
      </c>
      <c r="N34" s="40">
        <f t="shared" si="15"/>
        <v>41122</v>
      </c>
      <c r="O34" s="39">
        <f t="shared" si="16"/>
        <v>2</v>
      </c>
      <c r="P34" s="42" t="str">
        <f>+IF(Sheet2!S34="P","1%",IF(Sheet2!S34="h","1%",IF(Sheet2!S34="","20%","2%")))</f>
        <v>20%</v>
      </c>
      <c r="Q34" s="36" t="str">
        <f>+VLOOKUP('TDS data input sheet'!A35,Sheet2!$T$3:$BD$8,24,0)</f>
        <v>10%</v>
      </c>
      <c r="R34" s="36">
        <f>+LEFT('TDS data input sheet'!D35,4)</f>
      </c>
      <c r="S34" s="36">
        <f t="shared" si="17"/>
      </c>
    </row>
    <row r="35" spans="1:19" ht="15" customHeight="1">
      <c r="A35" s="38">
        <f>+EOMONTH('TDS data input sheet'!E36,0)</f>
        <v>41090</v>
      </c>
      <c r="B35" s="38">
        <f>+'TDS data input sheet'!E36</f>
        <v>41061</v>
      </c>
      <c r="C35" s="39">
        <f t="shared" si="18"/>
        <v>6</v>
      </c>
      <c r="D35" s="40">
        <f>+'TDS data input sheet'!G36</f>
        <v>41128</v>
      </c>
      <c r="E35" s="39">
        <f t="shared" si="19"/>
        <v>8</v>
      </c>
      <c r="F35" s="39">
        <f t="shared" si="20"/>
        <v>2</v>
      </c>
      <c r="G35" s="39">
        <f t="shared" si="21"/>
        <v>14</v>
      </c>
      <c r="H35" s="39">
        <f t="shared" si="22"/>
        <v>67</v>
      </c>
      <c r="I35" s="41">
        <f t="shared" si="23"/>
        <v>2.2333333333333334</v>
      </c>
      <c r="J35" s="41">
        <f t="shared" si="24"/>
        <v>0.18611111111111112</v>
      </c>
      <c r="K35" s="39">
        <f t="shared" si="25"/>
        <v>0</v>
      </c>
      <c r="L35" s="39">
        <f t="shared" si="26"/>
        <v>0</v>
      </c>
      <c r="M35" s="39">
        <f t="shared" si="27"/>
        <v>2</v>
      </c>
      <c r="N35" s="40">
        <f t="shared" si="15"/>
        <v>41122</v>
      </c>
      <c r="O35" s="39">
        <f t="shared" si="16"/>
        <v>2</v>
      </c>
      <c r="P35" s="42" t="str">
        <f>+IF(Sheet2!S35="P","1%",IF(Sheet2!S35="h","1%",IF(Sheet2!S35="","20%","2%")))</f>
        <v>20%</v>
      </c>
      <c r="Q35" s="36" t="str">
        <f>+VLOOKUP('TDS data input sheet'!A36,Sheet2!$T$3:$BD$8,24,0)</f>
        <v>10%</v>
      </c>
      <c r="R35" s="36">
        <f>+LEFT('TDS data input sheet'!D36,4)</f>
      </c>
      <c r="S35" s="36">
        <f t="shared" si="17"/>
      </c>
    </row>
    <row r="36" spans="1:19" ht="15" customHeight="1">
      <c r="A36" s="38">
        <f>+EOMONTH('TDS data input sheet'!E37,0)</f>
        <v>41090</v>
      </c>
      <c r="B36" s="38">
        <f>+'TDS data input sheet'!E37</f>
        <v>41061</v>
      </c>
      <c r="C36" s="39">
        <f t="shared" si="18"/>
        <v>6</v>
      </c>
      <c r="D36" s="40">
        <f>+'TDS data input sheet'!G37</f>
        <v>41128</v>
      </c>
      <c r="E36" s="39">
        <f t="shared" si="19"/>
        <v>8</v>
      </c>
      <c r="F36" s="39">
        <f t="shared" si="20"/>
        <v>2</v>
      </c>
      <c r="G36" s="39">
        <f t="shared" si="21"/>
        <v>14</v>
      </c>
      <c r="H36" s="39">
        <f t="shared" si="22"/>
        <v>67</v>
      </c>
      <c r="I36" s="41">
        <f t="shared" si="23"/>
        <v>2.2333333333333334</v>
      </c>
      <c r="J36" s="41">
        <f t="shared" si="24"/>
        <v>0.18611111111111112</v>
      </c>
      <c r="K36" s="39">
        <f t="shared" si="25"/>
        <v>0</v>
      </c>
      <c r="L36" s="39">
        <f t="shared" si="26"/>
        <v>0</v>
      </c>
      <c r="M36" s="39">
        <f t="shared" si="27"/>
        <v>2</v>
      </c>
      <c r="N36" s="40">
        <f aca="true" t="shared" si="28" ref="N36:N69">+EDATE(B36,F36)</f>
        <v>41122</v>
      </c>
      <c r="O36" s="39">
        <f aca="true" t="shared" si="29" ref="O36:O67">(IF(N36&gt;D36,F36,M36))</f>
        <v>2</v>
      </c>
      <c r="P36" s="42" t="str">
        <f>+IF(Sheet2!S36="P","1%",IF(Sheet2!S36="h","1%",IF(Sheet2!S36="","20%","2%")))</f>
        <v>20%</v>
      </c>
      <c r="Q36" s="36" t="str">
        <f>+VLOOKUP('TDS data input sheet'!A37,Sheet2!$T$3:$BD$8,24,0)</f>
        <v>10%</v>
      </c>
      <c r="R36" s="36">
        <f>+LEFT('TDS data input sheet'!D37,4)</f>
      </c>
      <c r="S36" s="36">
        <f aca="true" t="shared" si="30" ref="S36:S67">+RIGHT(R36,1)</f>
      </c>
    </row>
    <row r="37" spans="1:19" ht="15" customHeight="1">
      <c r="A37" s="38">
        <f>+EOMONTH('TDS data input sheet'!E38,0)</f>
        <v>41090</v>
      </c>
      <c r="B37" s="38">
        <f>+'TDS data input sheet'!E38</f>
        <v>41061</v>
      </c>
      <c r="C37" s="39">
        <f t="shared" si="18"/>
        <v>6</v>
      </c>
      <c r="D37" s="40">
        <f>+'TDS data input sheet'!G38</f>
        <v>41128</v>
      </c>
      <c r="E37" s="39">
        <f t="shared" si="19"/>
        <v>8</v>
      </c>
      <c r="F37" s="39">
        <f t="shared" si="20"/>
        <v>2</v>
      </c>
      <c r="G37" s="39">
        <f t="shared" si="21"/>
        <v>14</v>
      </c>
      <c r="H37" s="39">
        <f t="shared" si="22"/>
        <v>67</v>
      </c>
      <c r="I37" s="41">
        <f t="shared" si="23"/>
        <v>2.2333333333333334</v>
      </c>
      <c r="J37" s="41">
        <f t="shared" si="24"/>
        <v>0.18611111111111112</v>
      </c>
      <c r="K37" s="39">
        <f t="shared" si="25"/>
        <v>0</v>
      </c>
      <c r="L37" s="39">
        <f t="shared" si="26"/>
        <v>0</v>
      </c>
      <c r="M37" s="39">
        <f t="shared" si="27"/>
        <v>2</v>
      </c>
      <c r="N37" s="40">
        <f t="shared" si="28"/>
        <v>41122</v>
      </c>
      <c r="O37" s="39">
        <f t="shared" si="29"/>
        <v>2</v>
      </c>
      <c r="P37" s="42" t="str">
        <f>+IF(Sheet2!S37="P","1%",IF(Sheet2!S37="h","1%",IF(Sheet2!S37="","20%","2%")))</f>
        <v>20%</v>
      </c>
      <c r="Q37" s="36" t="str">
        <f>+VLOOKUP('TDS data input sheet'!A38,Sheet2!$T$3:$BD$8,24,0)</f>
        <v>10%</v>
      </c>
      <c r="R37" s="36">
        <f>+LEFT('TDS data input sheet'!D38,4)</f>
      </c>
      <c r="S37" s="36">
        <f t="shared" si="30"/>
      </c>
    </row>
    <row r="38" spans="1:19" ht="15" customHeight="1">
      <c r="A38" s="38">
        <f>+EOMONTH('TDS data input sheet'!E39,0)</f>
        <v>41090</v>
      </c>
      <c r="B38" s="38">
        <f>+'TDS data input sheet'!E39</f>
        <v>41061</v>
      </c>
      <c r="C38" s="39">
        <f t="shared" si="18"/>
        <v>6</v>
      </c>
      <c r="D38" s="40">
        <f>+'TDS data input sheet'!G39</f>
        <v>41128</v>
      </c>
      <c r="E38" s="39">
        <f t="shared" si="19"/>
        <v>8</v>
      </c>
      <c r="F38" s="39">
        <f t="shared" si="20"/>
        <v>2</v>
      </c>
      <c r="G38" s="39">
        <f t="shared" si="21"/>
        <v>14</v>
      </c>
      <c r="H38" s="39">
        <f t="shared" si="22"/>
        <v>67</v>
      </c>
      <c r="I38" s="41">
        <f t="shared" si="23"/>
        <v>2.2333333333333334</v>
      </c>
      <c r="J38" s="41">
        <f t="shared" si="24"/>
        <v>0.18611111111111112</v>
      </c>
      <c r="K38" s="39">
        <f t="shared" si="25"/>
        <v>0</v>
      </c>
      <c r="L38" s="39">
        <f t="shared" si="26"/>
        <v>0</v>
      </c>
      <c r="M38" s="39">
        <f t="shared" si="27"/>
        <v>2</v>
      </c>
      <c r="N38" s="40">
        <f t="shared" si="28"/>
        <v>41122</v>
      </c>
      <c r="O38" s="39">
        <f t="shared" si="29"/>
        <v>2</v>
      </c>
      <c r="P38" s="42" t="str">
        <f>+IF(Sheet2!S38="P","1%",IF(Sheet2!S38="h","1%",IF(Sheet2!S38="","20%","2%")))</f>
        <v>20%</v>
      </c>
      <c r="Q38" s="36" t="str">
        <f>+VLOOKUP('TDS data input sheet'!A39,Sheet2!$T$3:$BD$8,24,0)</f>
        <v>10%</v>
      </c>
      <c r="R38" s="36">
        <f>+LEFT('TDS data input sheet'!D39,4)</f>
      </c>
      <c r="S38" s="36">
        <f t="shared" si="30"/>
      </c>
    </row>
    <row r="39" spans="1:19" ht="15" customHeight="1">
      <c r="A39" s="38">
        <f>+EOMONTH('TDS data input sheet'!E40,0)</f>
        <v>41090</v>
      </c>
      <c r="B39" s="38">
        <f>+'TDS data input sheet'!E40</f>
        <v>41061</v>
      </c>
      <c r="C39" s="39">
        <f t="shared" si="18"/>
        <v>6</v>
      </c>
      <c r="D39" s="40">
        <f>+'TDS data input sheet'!G40</f>
        <v>41128</v>
      </c>
      <c r="E39" s="39">
        <f t="shared" si="19"/>
        <v>8</v>
      </c>
      <c r="F39" s="39">
        <f t="shared" si="20"/>
        <v>2</v>
      </c>
      <c r="G39" s="39">
        <f t="shared" si="21"/>
        <v>14</v>
      </c>
      <c r="H39" s="39">
        <f t="shared" si="22"/>
        <v>67</v>
      </c>
      <c r="I39" s="41">
        <f t="shared" si="23"/>
        <v>2.2333333333333334</v>
      </c>
      <c r="J39" s="41">
        <f t="shared" si="24"/>
        <v>0.18611111111111112</v>
      </c>
      <c r="K39" s="39">
        <f t="shared" si="25"/>
        <v>0</v>
      </c>
      <c r="L39" s="39">
        <f t="shared" si="26"/>
        <v>0</v>
      </c>
      <c r="M39" s="39">
        <f t="shared" si="27"/>
        <v>2</v>
      </c>
      <c r="N39" s="40">
        <f t="shared" si="28"/>
        <v>41122</v>
      </c>
      <c r="O39" s="39">
        <f t="shared" si="29"/>
        <v>2</v>
      </c>
      <c r="P39" s="42" t="str">
        <f>+IF(Sheet2!S39="P","1%",IF(Sheet2!S39="h","1%",IF(Sheet2!S39="","20%","2%")))</f>
        <v>20%</v>
      </c>
      <c r="Q39" s="36" t="str">
        <f>+VLOOKUP('TDS data input sheet'!A40,Sheet2!$T$3:$BD$8,24,0)</f>
        <v>10%</v>
      </c>
      <c r="R39" s="36">
        <f>+LEFT('TDS data input sheet'!D40,4)</f>
      </c>
      <c r="S39" s="36">
        <f t="shared" si="30"/>
      </c>
    </row>
    <row r="40" spans="1:19" ht="15" customHeight="1">
      <c r="A40" s="38">
        <f>+EOMONTH('TDS data input sheet'!E41,0)</f>
        <v>41090</v>
      </c>
      <c r="B40" s="38">
        <f>+'TDS data input sheet'!E41</f>
        <v>41061</v>
      </c>
      <c r="C40" s="39">
        <f t="shared" si="18"/>
        <v>6</v>
      </c>
      <c r="D40" s="40">
        <f>+'TDS data input sheet'!G41</f>
        <v>41128</v>
      </c>
      <c r="E40" s="39">
        <f t="shared" si="19"/>
        <v>8</v>
      </c>
      <c r="F40" s="39">
        <f t="shared" si="20"/>
        <v>2</v>
      </c>
      <c r="G40" s="39">
        <f t="shared" si="21"/>
        <v>14</v>
      </c>
      <c r="H40" s="39">
        <f t="shared" si="22"/>
        <v>67</v>
      </c>
      <c r="I40" s="41">
        <f t="shared" si="23"/>
        <v>2.2333333333333334</v>
      </c>
      <c r="J40" s="41">
        <f t="shared" si="24"/>
        <v>0.18611111111111112</v>
      </c>
      <c r="K40" s="39">
        <f t="shared" si="25"/>
        <v>0</v>
      </c>
      <c r="L40" s="39">
        <f t="shared" si="26"/>
        <v>0</v>
      </c>
      <c r="M40" s="39">
        <f t="shared" si="27"/>
        <v>2</v>
      </c>
      <c r="N40" s="40">
        <f t="shared" si="28"/>
        <v>41122</v>
      </c>
      <c r="O40" s="39">
        <f t="shared" si="29"/>
        <v>2</v>
      </c>
      <c r="P40" s="42" t="str">
        <f>+IF(Sheet2!S40="P","1%",IF(Sheet2!S40="h","1%",IF(Sheet2!S40="","20%","2%")))</f>
        <v>20%</v>
      </c>
      <c r="Q40" s="36" t="str">
        <f>+VLOOKUP('TDS data input sheet'!A41,Sheet2!$T$3:$BD$8,24,0)</f>
        <v>10%</v>
      </c>
      <c r="R40" s="36">
        <f>+LEFT('TDS data input sheet'!D41,4)</f>
      </c>
      <c r="S40" s="36">
        <f t="shared" si="30"/>
      </c>
    </row>
    <row r="41" spans="1:19" ht="15" customHeight="1">
      <c r="A41" s="38">
        <f>+EOMONTH('TDS data input sheet'!E42,0)</f>
        <v>41090</v>
      </c>
      <c r="B41" s="38">
        <f>+'TDS data input sheet'!E42</f>
        <v>41061</v>
      </c>
      <c r="C41" s="39">
        <f t="shared" si="18"/>
        <v>6</v>
      </c>
      <c r="D41" s="40">
        <f>+'TDS data input sheet'!G42</f>
        <v>41128</v>
      </c>
      <c r="E41" s="39">
        <f t="shared" si="19"/>
        <v>8</v>
      </c>
      <c r="F41" s="39">
        <f t="shared" si="20"/>
        <v>2</v>
      </c>
      <c r="G41" s="39">
        <f t="shared" si="21"/>
        <v>14</v>
      </c>
      <c r="H41" s="39">
        <f t="shared" si="22"/>
        <v>67</v>
      </c>
      <c r="I41" s="41">
        <f t="shared" si="23"/>
        <v>2.2333333333333334</v>
      </c>
      <c r="J41" s="41">
        <f t="shared" si="24"/>
        <v>0.18611111111111112</v>
      </c>
      <c r="K41" s="39">
        <f t="shared" si="25"/>
        <v>0</v>
      </c>
      <c r="L41" s="39">
        <f t="shared" si="26"/>
        <v>0</v>
      </c>
      <c r="M41" s="39">
        <f t="shared" si="27"/>
        <v>2</v>
      </c>
      <c r="N41" s="40">
        <f t="shared" si="28"/>
        <v>41122</v>
      </c>
      <c r="O41" s="39">
        <f t="shared" si="29"/>
        <v>2</v>
      </c>
      <c r="P41" s="42" t="str">
        <f>+IF(Sheet2!S41="P","1%",IF(Sheet2!S41="h","1%",IF(Sheet2!S41="","20%","2%")))</f>
        <v>20%</v>
      </c>
      <c r="Q41" s="36" t="str">
        <f>+VLOOKUP('TDS data input sheet'!A42,Sheet2!$T$3:$BD$8,24,0)</f>
        <v>10%</v>
      </c>
      <c r="R41" s="36">
        <f>+LEFT('TDS data input sheet'!D42,4)</f>
      </c>
      <c r="S41" s="36">
        <f t="shared" si="30"/>
      </c>
    </row>
    <row r="42" spans="1:19" ht="15" customHeight="1">
      <c r="A42" s="38">
        <f>+EOMONTH('TDS data input sheet'!E43,0)</f>
        <v>41090</v>
      </c>
      <c r="B42" s="38">
        <f>+'TDS data input sheet'!E43</f>
        <v>41061</v>
      </c>
      <c r="C42" s="39">
        <f t="shared" si="18"/>
        <v>6</v>
      </c>
      <c r="D42" s="40">
        <f>+'TDS data input sheet'!G43</f>
        <v>41128</v>
      </c>
      <c r="E42" s="39">
        <f t="shared" si="19"/>
        <v>8</v>
      </c>
      <c r="F42" s="39">
        <f t="shared" si="20"/>
        <v>2</v>
      </c>
      <c r="G42" s="39">
        <f t="shared" si="21"/>
        <v>14</v>
      </c>
      <c r="H42" s="39">
        <f t="shared" si="22"/>
        <v>67</v>
      </c>
      <c r="I42" s="41">
        <f t="shared" si="23"/>
        <v>2.2333333333333334</v>
      </c>
      <c r="J42" s="41">
        <f t="shared" si="24"/>
        <v>0.18611111111111112</v>
      </c>
      <c r="K42" s="39">
        <f t="shared" si="25"/>
        <v>0</v>
      </c>
      <c r="L42" s="39">
        <f t="shared" si="26"/>
        <v>0</v>
      </c>
      <c r="M42" s="39">
        <f t="shared" si="27"/>
        <v>2</v>
      </c>
      <c r="N42" s="40">
        <f t="shared" si="28"/>
        <v>41122</v>
      </c>
      <c r="O42" s="39">
        <f t="shared" si="29"/>
        <v>2</v>
      </c>
      <c r="P42" s="42" t="str">
        <f>+IF(Sheet2!S42="P","1%",IF(Sheet2!S42="h","1%",IF(Sheet2!S42="","20%","2%")))</f>
        <v>20%</v>
      </c>
      <c r="Q42" s="36" t="str">
        <f>+VLOOKUP('TDS data input sheet'!A43,Sheet2!$T$3:$BD$8,24,0)</f>
        <v>10%</v>
      </c>
      <c r="R42" s="36">
        <f>+LEFT('TDS data input sheet'!D43,4)</f>
      </c>
      <c r="S42" s="36">
        <f t="shared" si="30"/>
      </c>
    </row>
    <row r="43" spans="1:19" ht="15" customHeight="1">
      <c r="A43" s="38">
        <f>+EOMONTH('TDS data input sheet'!E44,0)</f>
        <v>41090</v>
      </c>
      <c r="B43" s="38">
        <f>+'TDS data input sheet'!E44</f>
        <v>41061</v>
      </c>
      <c r="C43" s="39">
        <f t="shared" si="18"/>
        <v>6</v>
      </c>
      <c r="D43" s="40">
        <f>+'TDS data input sheet'!G44</f>
        <v>41128</v>
      </c>
      <c r="E43" s="39">
        <f t="shared" si="19"/>
        <v>8</v>
      </c>
      <c r="F43" s="39">
        <f t="shared" si="20"/>
        <v>2</v>
      </c>
      <c r="G43" s="39">
        <f t="shared" si="21"/>
        <v>14</v>
      </c>
      <c r="H43" s="39">
        <f t="shared" si="22"/>
        <v>67</v>
      </c>
      <c r="I43" s="41">
        <f t="shared" si="23"/>
        <v>2.2333333333333334</v>
      </c>
      <c r="J43" s="41">
        <f t="shared" si="24"/>
        <v>0.18611111111111112</v>
      </c>
      <c r="K43" s="39">
        <f t="shared" si="25"/>
        <v>0</v>
      </c>
      <c r="L43" s="39">
        <f t="shared" si="26"/>
        <v>0</v>
      </c>
      <c r="M43" s="39">
        <f t="shared" si="27"/>
        <v>2</v>
      </c>
      <c r="N43" s="40">
        <f t="shared" si="28"/>
        <v>41122</v>
      </c>
      <c r="O43" s="39">
        <f t="shared" si="29"/>
        <v>2</v>
      </c>
      <c r="P43" s="42" t="str">
        <f>+IF(Sheet2!S43="P","1%",IF(Sheet2!S43="h","1%",IF(Sheet2!S43="","20%","2%")))</f>
        <v>20%</v>
      </c>
      <c r="Q43" s="36" t="str">
        <f>+VLOOKUP('TDS data input sheet'!A44,Sheet2!$T$3:$BD$8,24,0)</f>
        <v>10%</v>
      </c>
      <c r="R43" s="36">
        <f>+LEFT('TDS data input sheet'!D44,4)</f>
      </c>
      <c r="S43" s="36">
        <f t="shared" si="30"/>
      </c>
    </row>
    <row r="44" spans="1:19" ht="15" customHeight="1">
      <c r="A44" s="38">
        <f>+EOMONTH('TDS data input sheet'!E45,0)</f>
        <v>41090</v>
      </c>
      <c r="B44" s="38">
        <f>+'TDS data input sheet'!E45</f>
        <v>41061</v>
      </c>
      <c r="C44" s="39">
        <f t="shared" si="18"/>
        <v>6</v>
      </c>
      <c r="D44" s="40">
        <f>+'TDS data input sheet'!G45</f>
        <v>41128</v>
      </c>
      <c r="E44" s="39">
        <f t="shared" si="19"/>
        <v>8</v>
      </c>
      <c r="F44" s="39">
        <f t="shared" si="20"/>
        <v>2</v>
      </c>
      <c r="G44" s="39">
        <f t="shared" si="21"/>
        <v>14</v>
      </c>
      <c r="H44" s="39">
        <f t="shared" si="22"/>
        <v>67</v>
      </c>
      <c r="I44" s="41">
        <f t="shared" si="23"/>
        <v>2.2333333333333334</v>
      </c>
      <c r="J44" s="41">
        <f t="shared" si="24"/>
        <v>0.18611111111111112</v>
      </c>
      <c r="K44" s="39">
        <f t="shared" si="25"/>
        <v>0</v>
      </c>
      <c r="L44" s="39">
        <f t="shared" si="26"/>
        <v>0</v>
      </c>
      <c r="M44" s="39">
        <f t="shared" si="27"/>
        <v>2</v>
      </c>
      <c r="N44" s="40">
        <f t="shared" si="28"/>
        <v>41122</v>
      </c>
      <c r="O44" s="39">
        <f t="shared" si="29"/>
        <v>2</v>
      </c>
      <c r="P44" s="42" t="str">
        <f>+IF(Sheet2!S44="P","1%",IF(Sheet2!S44="h","1%",IF(Sheet2!S44="","20%","2%")))</f>
        <v>20%</v>
      </c>
      <c r="Q44" s="36" t="str">
        <f>+VLOOKUP('TDS data input sheet'!A45,Sheet2!$T$3:$BD$8,24,0)</f>
        <v>10%</v>
      </c>
      <c r="R44" s="36">
        <f>+LEFT('TDS data input sheet'!D45,4)</f>
      </c>
      <c r="S44" s="36">
        <f t="shared" si="30"/>
      </c>
    </row>
    <row r="45" spans="1:19" ht="15" customHeight="1">
      <c r="A45" s="38">
        <f>+EOMONTH('TDS data input sheet'!E46,0)</f>
        <v>41090</v>
      </c>
      <c r="B45" s="38">
        <f>+'TDS data input sheet'!E46</f>
        <v>41061</v>
      </c>
      <c r="C45" s="39">
        <f t="shared" si="18"/>
        <v>6</v>
      </c>
      <c r="D45" s="40">
        <f>+'TDS data input sheet'!G46</f>
        <v>41128</v>
      </c>
      <c r="E45" s="39">
        <f t="shared" si="19"/>
        <v>8</v>
      </c>
      <c r="F45" s="39">
        <f t="shared" si="20"/>
        <v>2</v>
      </c>
      <c r="G45" s="39">
        <f t="shared" si="21"/>
        <v>14</v>
      </c>
      <c r="H45" s="39">
        <f t="shared" si="22"/>
        <v>67</v>
      </c>
      <c r="I45" s="41">
        <f t="shared" si="23"/>
        <v>2.2333333333333334</v>
      </c>
      <c r="J45" s="41">
        <f t="shared" si="24"/>
        <v>0.18611111111111112</v>
      </c>
      <c r="K45" s="39">
        <f t="shared" si="25"/>
        <v>0</v>
      </c>
      <c r="L45" s="39">
        <f t="shared" si="26"/>
        <v>0</v>
      </c>
      <c r="M45" s="39">
        <f t="shared" si="27"/>
        <v>2</v>
      </c>
      <c r="N45" s="40">
        <f t="shared" si="28"/>
        <v>41122</v>
      </c>
      <c r="O45" s="39">
        <f t="shared" si="29"/>
        <v>2</v>
      </c>
      <c r="P45" s="42" t="str">
        <f>+IF(Sheet2!S45="P","1%",IF(Sheet2!S45="h","1%",IF(Sheet2!S45="","20%","2%")))</f>
        <v>20%</v>
      </c>
      <c r="Q45" s="36" t="str">
        <f>+VLOOKUP('TDS data input sheet'!A46,Sheet2!$T$3:$BD$8,24,0)</f>
        <v>10%</v>
      </c>
      <c r="R45" s="36">
        <f>+LEFT('TDS data input sheet'!D46,4)</f>
      </c>
      <c r="S45" s="36">
        <f t="shared" si="30"/>
      </c>
    </row>
    <row r="46" spans="1:19" ht="15" customHeight="1">
      <c r="A46" s="38">
        <f>+EOMONTH('TDS data input sheet'!E47,0)</f>
        <v>41090</v>
      </c>
      <c r="B46" s="38">
        <f>+'TDS data input sheet'!E47</f>
        <v>41061</v>
      </c>
      <c r="C46" s="39">
        <f t="shared" si="18"/>
        <v>6</v>
      </c>
      <c r="D46" s="40">
        <f>+'TDS data input sheet'!G47</f>
        <v>41128</v>
      </c>
      <c r="E46" s="39">
        <f t="shared" si="19"/>
        <v>8</v>
      </c>
      <c r="F46" s="39">
        <f t="shared" si="20"/>
        <v>2</v>
      </c>
      <c r="G46" s="39">
        <f t="shared" si="21"/>
        <v>14</v>
      </c>
      <c r="H46" s="39">
        <f t="shared" si="22"/>
        <v>67</v>
      </c>
      <c r="I46" s="41">
        <f t="shared" si="23"/>
        <v>2.2333333333333334</v>
      </c>
      <c r="J46" s="41">
        <f t="shared" si="24"/>
        <v>0.18611111111111112</v>
      </c>
      <c r="K46" s="39">
        <f t="shared" si="25"/>
        <v>0</v>
      </c>
      <c r="L46" s="39">
        <f t="shared" si="26"/>
        <v>0</v>
      </c>
      <c r="M46" s="39">
        <f t="shared" si="27"/>
        <v>2</v>
      </c>
      <c r="N46" s="40">
        <f t="shared" si="28"/>
        <v>41122</v>
      </c>
      <c r="O46" s="39">
        <f t="shared" si="29"/>
        <v>2</v>
      </c>
      <c r="P46" s="42" t="str">
        <f>+IF(Sheet2!S46="P","1%",IF(Sheet2!S46="h","1%",IF(Sheet2!S46="","20%","2%")))</f>
        <v>20%</v>
      </c>
      <c r="Q46" s="36" t="str">
        <f>+VLOOKUP('TDS data input sheet'!A47,Sheet2!$T$3:$BD$8,24,0)</f>
        <v>10%</v>
      </c>
      <c r="R46" s="36">
        <f>+LEFT('TDS data input sheet'!D47,4)</f>
      </c>
      <c r="S46" s="36">
        <f t="shared" si="30"/>
      </c>
    </row>
    <row r="47" spans="1:19" ht="15" customHeight="1">
      <c r="A47" s="38">
        <f>+EOMONTH('TDS data input sheet'!E48,0)</f>
        <v>41090</v>
      </c>
      <c r="B47" s="38">
        <f>+'TDS data input sheet'!E48</f>
        <v>41061</v>
      </c>
      <c r="C47" s="39">
        <f t="shared" si="18"/>
        <v>6</v>
      </c>
      <c r="D47" s="40">
        <f>+'TDS data input sheet'!G48</f>
        <v>41128</v>
      </c>
      <c r="E47" s="39">
        <f t="shared" si="19"/>
        <v>8</v>
      </c>
      <c r="F47" s="39">
        <f t="shared" si="20"/>
        <v>2</v>
      </c>
      <c r="G47" s="39">
        <f t="shared" si="21"/>
        <v>14</v>
      </c>
      <c r="H47" s="39">
        <f t="shared" si="22"/>
        <v>67</v>
      </c>
      <c r="I47" s="41">
        <f t="shared" si="23"/>
        <v>2.2333333333333334</v>
      </c>
      <c r="J47" s="41">
        <f t="shared" si="24"/>
        <v>0.18611111111111112</v>
      </c>
      <c r="K47" s="39">
        <f t="shared" si="25"/>
        <v>0</v>
      </c>
      <c r="L47" s="39">
        <f t="shared" si="26"/>
        <v>0</v>
      </c>
      <c r="M47" s="39">
        <f t="shared" si="27"/>
        <v>2</v>
      </c>
      <c r="N47" s="40">
        <f t="shared" si="28"/>
        <v>41122</v>
      </c>
      <c r="O47" s="39">
        <f t="shared" si="29"/>
        <v>2</v>
      </c>
      <c r="P47" s="42" t="str">
        <f>+IF(Sheet2!S47="P","1%",IF(Sheet2!S47="h","1%",IF(Sheet2!S47="","20%","2%")))</f>
        <v>20%</v>
      </c>
      <c r="Q47" s="36" t="str">
        <f>+VLOOKUP('TDS data input sheet'!A48,Sheet2!$T$3:$BD$8,24,0)</f>
        <v>10%</v>
      </c>
      <c r="R47" s="36">
        <f>+LEFT('TDS data input sheet'!D48,4)</f>
      </c>
      <c r="S47" s="36">
        <f t="shared" si="30"/>
      </c>
    </row>
    <row r="48" spans="1:19" ht="15" customHeight="1">
      <c r="A48" s="38">
        <f>+EOMONTH('TDS data input sheet'!E49,0)</f>
        <v>41090</v>
      </c>
      <c r="B48" s="38">
        <f>+'TDS data input sheet'!E49</f>
        <v>41061</v>
      </c>
      <c r="C48" s="39">
        <f t="shared" si="18"/>
        <v>6</v>
      </c>
      <c r="D48" s="40">
        <f>+'TDS data input sheet'!G49</f>
        <v>41128</v>
      </c>
      <c r="E48" s="39">
        <f t="shared" si="19"/>
        <v>8</v>
      </c>
      <c r="F48" s="39">
        <f t="shared" si="20"/>
        <v>2</v>
      </c>
      <c r="G48" s="39">
        <f t="shared" si="21"/>
        <v>14</v>
      </c>
      <c r="H48" s="39">
        <f t="shared" si="22"/>
        <v>67</v>
      </c>
      <c r="I48" s="41">
        <f t="shared" si="23"/>
        <v>2.2333333333333334</v>
      </c>
      <c r="J48" s="41">
        <f t="shared" si="24"/>
        <v>0.18611111111111112</v>
      </c>
      <c r="K48" s="39">
        <f t="shared" si="25"/>
        <v>0</v>
      </c>
      <c r="L48" s="39">
        <f t="shared" si="26"/>
        <v>0</v>
      </c>
      <c r="M48" s="39">
        <f t="shared" si="27"/>
        <v>2</v>
      </c>
      <c r="N48" s="40">
        <f t="shared" si="28"/>
        <v>41122</v>
      </c>
      <c r="O48" s="39">
        <f t="shared" si="29"/>
        <v>2</v>
      </c>
      <c r="P48" s="42" t="str">
        <f>+IF(Sheet2!S48="P","1%",IF(Sheet2!S48="h","1%",IF(Sheet2!S48="","20%","2%")))</f>
        <v>20%</v>
      </c>
      <c r="Q48" s="36" t="str">
        <f>+VLOOKUP('TDS data input sheet'!A49,Sheet2!$T$3:$BD$8,24,0)</f>
        <v>10%</v>
      </c>
      <c r="R48" s="36">
        <f>+LEFT('TDS data input sheet'!D49,4)</f>
      </c>
      <c r="S48" s="36">
        <f t="shared" si="30"/>
      </c>
    </row>
    <row r="49" spans="1:19" ht="15" customHeight="1">
      <c r="A49" s="38">
        <f>+EOMONTH('TDS data input sheet'!E50,0)</f>
        <v>41090</v>
      </c>
      <c r="B49" s="38">
        <f>+'TDS data input sheet'!E50</f>
        <v>41061</v>
      </c>
      <c r="C49" s="39">
        <f t="shared" si="18"/>
        <v>6</v>
      </c>
      <c r="D49" s="40">
        <f>+'TDS data input sheet'!G50</f>
        <v>41128</v>
      </c>
      <c r="E49" s="39">
        <f t="shared" si="19"/>
        <v>8</v>
      </c>
      <c r="F49" s="39">
        <f t="shared" si="20"/>
        <v>2</v>
      </c>
      <c r="G49" s="39">
        <f t="shared" si="21"/>
        <v>14</v>
      </c>
      <c r="H49" s="39">
        <f t="shared" si="22"/>
        <v>67</v>
      </c>
      <c r="I49" s="41">
        <f t="shared" si="23"/>
        <v>2.2333333333333334</v>
      </c>
      <c r="J49" s="41">
        <f t="shared" si="24"/>
        <v>0.18611111111111112</v>
      </c>
      <c r="K49" s="39">
        <f t="shared" si="25"/>
        <v>0</v>
      </c>
      <c r="L49" s="39">
        <f t="shared" si="26"/>
        <v>0</v>
      </c>
      <c r="M49" s="39">
        <f t="shared" si="27"/>
        <v>2</v>
      </c>
      <c r="N49" s="40">
        <f t="shared" si="28"/>
        <v>41122</v>
      </c>
      <c r="O49" s="39">
        <f t="shared" si="29"/>
        <v>2</v>
      </c>
      <c r="P49" s="42" t="str">
        <f>+IF(Sheet2!S49="P","1%",IF(Sheet2!S49="h","1%",IF(Sheet2!S49="","20%","2%")))</f>
        <v>20%</v>
      </c>
      <c r="Q49" s="36" t="str">
        <f>+VLOOKUP('TDS data input sheet'!A50,Sheet2!$T$3:$BD$8,24,0)</f>
        <v>10%</v>
      </c>
      <c r="R49" s="36">
        <f>+LEFT('TDS data input sheet'!D50,4)</f>
      </c>
      <c r="S49" s="36">
        <f t="shared" si="30"/>
      </c>
    </row>
    <row r="50" spans="1:19" ht="15" customHeight="1">
      <c r="A50" s="38">
        <f>+EOMONTH('TDS data input sheet'!E51,0)</f>
        <v>41090</v>
      </c>
      <c r="B50" s="38">
        <f>+'TDS data input sheet'!E51</f>
        <v>41061</v>
      </c>
      <c r="C50" s="39">
        <f t="shared" si="18"/>
        <v>6</v>
      </c>
      <c r="D50" s="40">
        <f>+'TDS data input sheet'!G51</f>
        <v>41128</v>
      </c>
      <c r="E50" s="39">
        <f t="shared" si="19"/>
        <v>8</v>
      </c>
      <c r="F50" s="39">
        <f t="shared" si="20"/>
        <v>2</v>
      </c>
      <c r="G50" s="39">
        <f t="shared" si="21"/>
        <v>14</v>
      </c>
      <c r="H50" s="39">
        <f t="shared" si="22"/>
        <v>67</v>
      </c>
      <c r="I50" s="41">
        <f t="shared" si="23"/>
        <v>2.2333333333333334</v>
      </c>
      <c r="J50" s="41">
        <f t="shared" si="24"/>
        <v>0.18611111111111112</v>
      </c>
      <c r="K50" s="39">
        <f t="shared" si="25"/>
        <v>0</v>
      </c>
      <c r="L50" s="39">
        <f t="shared" si="26"/>
        <v>0</v>
      </c>
      <c r="M50" s="39">
        <f t="shared" si="27"/>
        <v>2</v>
      </c>
      <c r="N50" s="40">
        <f t="shared" si="28"/>
        <v>41122</v>
      </c>
      <c r="O50" s="39">
        <f t="shared" si="29"/>
        <v>2</v>
      </c>
      <c r="P50" s="42" t="str">
        <f>+IF(Sheet2!S50="P","1%",IF(Sheet2!S50="h","1%",IF(Sheet2!S50="","20%","2%")))</f>
        <v>20%</v>
      </c>
      <c r="Q50" s="36" t="str">
        <f>+VLOOKUP('TDS data input sheet'!A51,Sheet2!$T$3:$BD$8,24,0)</f>
        <v>10%</v>
      </c>
      <c r="R50" s="36">
        <f>+LEFT('TDS data input sheet'!D51,4)</f>
      </c>
      <c r="S50" s="36">
        <f t="shared" si="30"/>
      </c>
    </row>
    <row r="51" spans="1:19" ht="15" customHeight="1">
      <c r="A51" s="38">
        <f>+EOMONTH('TDS data input sheet'!E52,0)</f>
        <v>41090</v>
      </c>
      <c r="B51" s="38">
        <f>+'TDS data input sheet'!E52</f>
        <v>41061</v>
      </c>
      <c r="C51" s="39">
        <f t="shared" si="18"/>
        <v>6</v>
      </c>
      <c r="D51" s="40">
        <f>+'TDS data input sheet'!G52</f>
        <v>41128</v>
      </c>
      <c r="E51" s="39">
        <f t="shared" si="19"/>
        <v>8</v>
      </c>
      <c r="F51" s="39">
        <f t="shared" si="20"/>
        <v>2</v>
      </c>
      <c r="G51" s="39">
        <f t="shared" si="21"/>
        <v>14</v>
      </c>
      <c r="H51" s="39">
        <f t="shared" si="22"/>
        <v>67</v>
      </c>
      <c r="I51" s="41">
        <f t="shared" si="23"/>
        <v>2.2333333333333334</v>
      </c>
      <c r="J51" s="41">
        <f t="shared" si="24"/>
        <v>0.18611111111111112</v>
      </c>
      <c r="K51" s="39">
        <f t="shared" si="25"/>
        <v>0</v>
      </c>
      <c r="L51" s="39">
        <f t="shared" si="26"/>
        <v>0</v>
      </c>
      <c r="M51" s="39">
        <f t="shared" si="27"/>
        <v>2</v>
      </c>
      <c r="N51" s="40">
        <f t="shared" si="28"/>
        <v>41122</v>
      </c>
      <c r="O51" s="39">
        <f t="shared" si="29"/>
        <v>2</v>
      </c>
      <c r="P51" s="42" t="str">
        <f>+IF(Sheet2!S51="P","1%",IF(Sheet2!S51="h","1%",IF(Sheet2!S51="","20%","2%")))</f>
        <v>20%</v>
      </c>
      <c r="Q51" s="36" t="str">
        <f>+VLOOKUP('TDS data input sheet'!A52,Sheet2!$T$3:$BD$8,24,0)</f>
        <v>10%</v>
      </c>
      <c r="R51" s="36">
        <f>+LEFT('TDS data input sheet'!D52,4)</f>
      </c>
      <c r="S51" s="36">
        <f t="shared" si="30"/>
      </c>
    </row>
    <row r="52" spans="1:19" ht="15" customHeight="1">
      <c r="A52" s="38">
        <f>+EOMONTH('TDS data input sheet'!E53,0)</f>
        <v>41090</v>
      </c>
      <c r="B52" s="38">
        <f>+'TDS data input sheet'!E53</f>
        <v>41061</v>
      </c>
      <c r="C52" s="39">
        <f t="shared" si="18"/>
        <v>6</v>
      </c>
      <c r="D52" s="40">
        <f>+'TDS data input sheet'!G53</f>
        <v>41128</v>
      </c>
      <c r="E52" s="39">
        <f t="shared" si="19"/>
        <v>8</v>
      </c>
      <c r="F52" s="39">
        <f t="shared" si="20"/>
        <v>2</v>
      </c>
      <c r="G52" s="39">
        <f t="shared" si="21"/>
        <v>14</v>
      </c>
      <c r="H52" s="39">
        <f t="shared" si="22"/>
        <v>67</v>
      </c>
      <c r="I52" s="41">
        <f t="shared" si="23"/>
        <v>2.2333333333333334</v>
      </c>
      <c r="J52" s="41">
        <f t="shared" si="24"/>
        <v>0.18611111111111112</v>
      </c>
      <c r="K52" s="39">
        <f t="shared" si="25"/>
        <v>0</v>
      </c>
      <c r="L52" s="39">
        <f t="shared" si="26"/>
        <v>0</v>
      </c>
      <c r="M52" s="39">
        <f t="shared" si="27"/>
        <v>2</v>
      </c>
      <c r="N52" s="40">
        <f t="shared" si="28"/>
        <v>41122</v>
      </c>
      <c r="O52" s="39">
        <f t="shared" si="29"/>
        <v>2</v>
      </c>
      <c r="P52" s="42" t="str">
        <f>+IF(Sheet2!S52="P","1%",IF(Sheet2!S52="h","1%",IF(Sheet2!S52="","20%","2%")))</f>
        <v>20%</v>
      </c>
      <c r="Q52" s="36" t="str">
        <f>+VLOOKUP('TDS data input sheet'!A53,Sheet2!$T$3:$BD$8,24,0)</f>
        <v>10%</v>
      </c>
      <c r="R52" s="36">
        <f>+LEFT('TDS data input sheet'!D53,4)</f>
      </c>
      <c r="S52" s="36">
        <f t="shared" si="30"/>
      </c>
    </row>
    <row r="53" spans="1:19" ht="15" customHeight="1">
      <c r="A53" s="38">
        <f>+EOMONTH('TDS data input sheet'!E54,0)</f>
        <v>41090</v>
      </c>
      <c r="B53" s="38">
        <f>+'TDS data input sheet'!E54</f>
        <v>41075</v>
      </c>
      <c r="C53" s="39">
        <f t="shared" si="18"/>
        <v>6</v>
      </c>
      <c r="D53" s="40">
        <f>+'TDS data input sheet'!G54</f>
        <v>41128</v>
      </c>
      <c r="E53" s="39">
        <f t="shared" si="19"/>
        <v>8</v>
      </c>
      <c r="F53" s="39">
        <f t="shared" si="20"/>
        <v>2</v>
      </c>
      <c r="G53" s="39">
        <f t="shared" si="21"/>
        <v>14</v>
      </c>
      <c r="H53" s="39">
        <f t="shared" si="22"/>
        <v>53</v>
      </c>
      <c r="I53" s="41">
        <f t="shared" si="23"/>
        <v>1.7666666666666666</v>
      </c>
      <c r="J53" s="41">
        <f t="shared" si="24"/>
        <v>0.14722222222222223</v>
      </c>
      <c r="K53" s="39">
        <f t="shared" si="25"/>
        <v>0</v>
      </c>
      <c r="L53" s="39">
        <f t="shared" si="26"/>
        <v>0</v>
      </c>
      <c r="M53" s="39">
        <f t="shared" si="27"/>
        <v>2</v>
      </c>
      <c r="N53" s="40">
        <f t="shared" si="28"/>
        <v>41136</v>
      </c>
      <c r="O53" s="39">
        <f t="shared" si="29"/>
        <v>2</v>
      </c>
      <c r="P53" s="42" t="str">
        <f>+IF(Sheet2!S53="P","1%",IF(Sheet2!S53="h","1%",IF(Sheet2!S53="","20%","2%")))</f>
        <v>20%</v>
      </c>
      <c r="Q53" s="36" t="str">
        <f>+VLOOKUP('TDS data input sheet'!A54,Sheet2!$T$3:$BD$8,24,0)</f>
        <v>10%</v>
      </c>
      <c r="R53" s="36">
        <f>+LEFT('TDS data input sheet'!D54,4)</f>
      </c>
      <c r="S53" s="36">
        <f t="shared" si="30"/>
      </c>
    </row>
    <row r="54" spans="1:19" ht="15" customHeight="1">
      <c r="A54" s="38">
        <f>+EOMONTH('TDS data input sheet'!E55,0)</f>
        <v>41090</v>
      </c>
      <c r="B54" s="38">
        <f>+'TDS data input sheet'!E55</f>
        <v>41061</v>
      </c>
      <c r="C54" s="39">
        <f t="shared" si="18"/>
        <v>6</v>
      </c>
      <c r="D54" s="40">
        <f>+'TDS data input sheet'!G55</f>
        <v>41128</v>
      </c>
      <c r="E54" s="39">
        <f t="shared" si="19"/>
        <v>8</v>
      </c>
      <c r="F54" s="39">
        <f t="shared" si="20"/>
        <v>2</v>
      </c>
      <c r="G54" s="39">
        <f t="shared" si="21"/>
        <v>14</v>
      </c>
      <c r="H54" s="39">
        <f t="shared" si="22"/>
        <v>67</v>
      </c>
      <c r="I54" s="41">
        <f t="shared" si="23"/>
        <v>2.2333333333333334</v>
      </c>
      <c r="J54" s="41">
        <f t="shared" si="24"/>
        <v>0.18611111111111112</v>
      </c>
      <c r="K54" s="39">
        <f t="shared" si="25"/>
        <v>0</v>
      </c>
      <c r="L54" s="39">
        <f t="shared" si="26"/>
        <v>0</v>
      </c>
      <c r="M54" s="39">
        <f t="shared" si="27"/>
        <v>2</v>
      </c>
      <c r="N54" s="40">
        <f t="shared" si="28"/>
        <v>41122</v>
      </c>
      <c r="O54" s="39">
        <f t="shared" si="29"/>
        <v>2</v>
      </c>
      <c r="P54" s="42" t="str">
        <f>+IF(Sheet2!S54="P","1%",IF(Sheet2!S54="h","1%",IF(Sheet2!S54="","20%","2%")))</f>
        <v>20%</v>
      </c>
      <c r="Q54" s="36" t="str">
        <f>+VLOOKUP('TDS data input sheet'!A55,Sheet2!$T$3:$BD$8,24,0)</f>
        <v>10%</v>
      </c>
      <c r="R54" s="36">
        <f>+LEFT('TDS data input sheet'!D55,4)</f>
      </c>
      <c r="S54" s="36">
        <f t="shared" si="30"/>
      </c>
    </row>
    <row r="55" spans="1:19" ht="15" customHeight="1">
      <c r="A55" s="38">
        <f>+EOMONTH('TDS data input sheet'!E56,0)</f>
        <v>40939</v>
      </c>
      <c r="B55" s="38">
        <f>+'TDS data input sheet'!E56</f>
        <v>40909</v>
      </c>
      <c r="C55" s="39">
        <f t="shared" si="18"/>
        <v>1</v>
      </c>
      <c r="D55" s="40">
        <f>+'TDS data input sheet'!G56</f>
        <v>41128</v>
      </c>
      <c r="E55" s="39">
        <f t="shared" si="19"/>
        <v>8</v>
      </c>
      <c r="F55" s="39">
        <f t="shared" si="20"/>
        <v>7</v>
      </c>
      <c r="G55" s="39">
        <f t="shared" si="21"/>
        <v>19</v>
      </c>
      <c r="H55" s="39">
        <f t="shared" si="22"/>
        <v>219</v>
      </c>
      <c r="I55" s="41">
        <f t="shared" si="23"/>
        <v>7.3</v>
      </c>
      <c r="J55" s="41">
        <f t="shared" si="24"/>
        <v>0.6083333333333333</v>
      </c>
      <c r="K55" s="39">
        <f t="shared" si="25"/>
        <v>0</v>
      </c>
      <c r="L55" s="39">
        <f t="shared" si="26"/>
        <v>0</v>
      </c>
      <c r="M55" s="39">
        <f t="shared" si="27"/>
        <v>7</v>
      </c>
      <c r="N55" s="40">
        <f t="shared" si="28"/>
        <v>41122</v>
      </c>
      <c r="O55" s="39">
        <f t="shared" si="29"/>
        <v>7</v>
      </c>
      <c r="P55" s="42" t="str">
        <f>+IF(Sheet2!S55="P","1%",IF(Sheet2!S55="h","1%",IF(Sheet2!S55="","20%","2%")))</f>
        <v>20%</v>
      </c>
      <c r="Q55" s="36" t="str">
        <f>+VLOOKUP('TDS data input sheet'!A56,Sheet2!$T$3:$BD$8,24,0)</f>
        <v>10%</v>
      </c>
      <c r="R55" s="36">
        <f>+LEFT('TDS data input sheet'!D56,4)</f>
      </c>
      <c r="S55" s="36">
        <f t="shared" si="30"/>
      </c>
    </row>
    <row r="56" spans="1:19" ht="15" customHeight="1">
      <c r="A56" s="38">
        <f>+EOMONTH('TDS data input sheet'!E57,0)</f>
        <v>41090</v>
      </c>
      <c r="B56" s="38">
        <f>+'TDS data input sheet'!E57</f>
        <v>41061</v>
      </c>
      <c r="C56" s="39">
        <f t="shared" si="18"/>
        <v>6</v>
      </c>
      <c r="D56" s="40">
        <f>+'TDS data input sheet'!G57</f>
        <v>41128</v>
      </c>
      <c r="E56" s="39">
        <f t="shared" si="19"/>
        <v>8</v>
      </c>
      <c r="F56" s="39">
        <f t="shared" si="20"/>
        <v>2</v>
      </c>
      <c r="G56" s="39">
        <f t="shared" si="21"/>
        <v>14</v>
      </c>
      <c r="H56" s="39">
        <f t="shared" si="22"/>
        <v>67</v>
      </c>
      <c r="I56" s="41">
        <f t="shared" si="23"/>
        <v>2.2333333333333334</v>
      </c>
      <c r="J56" s="41">
        <f t="shared" si="24"/>
        <v>0.18611111111111112</v>
      </c>
      <c r="K56" s="39">
        <f t="shared" si="25"/>
        <v>0</v>
      </c>
      <c r="L56" s="39">
        <f t="shared" si="26"/>
        <v>0</v>
      </c>
      <c r="M56" s="39">
        <f t="shared" si="27"/>
        <v>2</v>
      </c>
      <c r="N56" s="40">
        <f t="shared" si="28"/>
        <v>41122</v>
      </c>
      <c r="O56" s="39">
        <f t="shared" si="29"/>
        <v>2</v>
      </c>
      <c r="P56" s="42" t="str">
        <f>+IF(Sheet2!S56="P","1%",IF(Sheet2!S56="h","1%",IF(Sheet2!S56="","20%","2%")))</f>
        <v>20%</v>
      </c>
      <c r="Q56" s="36" t="str">
        <f>+VLOOKUP('TDS data input sheet'!A57,Sheet2!$T$3:$BD$8,24,0)</f>
        <v>10%</v>
      </c>
      <c r="R56" s="36">
        <f>+LEFT('TDS data input sheet'!D57,4)</f>
      </c>
      <c r="S56" s="36">
        <f t="shared" si="30"/>
      </c>
    </row>
    <row r="57" spans="1:19" ht="15" customHeight="1">
      <c r="A57" s="38">
        <f>+EOMONTH('TDS data input sheet'!E58,0)</f>
        <v>41090</v>
      </c>
      <c r="B57" s="38">
        <f>+'TDS data input sheet'!E58</f>
        <v>41061</v>
      </c>
      <c r="C57" s="39">
        <f t="shared" si="18"/>
        <v>6</v>
      </c>
      <c r="D57" s="40">
        <f>+'TDS data input sheet'!G58</f>
        <v>41128</v>
      </c>
      <c r="E57" s="39">
        <f t="shared" si="19"/>
        <v>8</v>
      </c>
      <c r="F57" s="39">
        <f t="shared" si="20"/>
        <v>2</v>
      </c>
      <c r="G57" s="39">
        <f t="shared" si="21"/>
        <v>14</v>
      </c>
      <c r="H57" s="39">
        <f t="shared" si="22"/>
        <v>67</v>
      </c>
      <c r="I57" s="41">
        <f t="shared" si="23"/>
        <v>2.2333333333333334</v>
      </c>
      <c r="J57" s="41">
        <f t="shared" si="24"/>
        <v>0.18611111111111112</v>
      </c>
      <c r="K57" s="39">
        <f t="shared" si="25"/>
        <v>0</v>
      </c>
      <c r="L57" s="39">
        <f t="shared" si="26"/>
        <v>0</v>
      </c>
      <c r="M57" s="39">
        <f t="shared" si="27"/>
        <v>2</v>
      </c>
      <c r="N57" s="40">
        <f t="shared" si="28"/>
        <v>41122</v>
      </c>
      <c r="O57" s="39">
        <f t="shared" si="29"/>
        <v>2</v>
      </c>
      <c r="P57" s="42" t="str">
        <f>+IF(Sheet2!S57="P","1%",IF(Sheet2!S57="h","1%",IF(Sheet2!S57="","20%","2%")))</f>
        <v>20%</v>
      </c>
      <c r="Q57" s="36" t="str">
        <f>+VLOOKUP('TDS data input sheet'!A58,Sheet2!$T$3:$BD$8,24,0)</f>
        <v>10%</v>
      </c>
      <c r="R57" s="36">
        <f>+LEFT('TDS data input sheet'!D58,4)</f>
      </c>
      <c r="S57" s="36">
        <f t="shared" si="30"/>
      </c>
    </row>
    <row r="58" spans="1:19" ht="15" customHeight="1">
      <c r="A58" s="38">
        <f>+EOMONTH('TDS data input sheet'!E59,0)</f>
        <v>41090</v>
      </c>
      <c r="B58" s="38">
        <f>+'TDS data input sheet'!E59</f>
        <v>41061</v>
      </c>
      <c r="C58" s="39">
        <f t="shared" si="18"/>
        <v>6</v>
      </c>
      <c r="D58" s="40">
        <f>+'TDS data input sheet'!G59</f>
        <v>41128</v>
      </c>
      <c r="E58" s="39">
        <f t="shared" si="19"/>
        <v>8</v>
      </c>
      <c r="F58" s="39">
        <f t="shared" si="20"/>
        <v>2</v>
      </c>
      <c r="G58" s="39">
        <f t="shared" si="21"/>
        <v>14</v>
      </c>
      <c r="H58" s="39">
        <f t="shared" si="22"/>
        <v>67</v>
      </c>
      <c r="I58" s="41">
        <f t="shared" si="23"/>
        <v>2.2333333333333334</v>
      </c>
      <c r="J58" s="41">
        <f t="shared" si="24"/>
        <v>0.18611111111111112</v>
      </c>
      <c r="K58" s="39">
        <f t="shared" si="25"/>
        <v>0</v>
      </c>
      <c r="L58" s="39">
        <f t="shared" si="26"/>
        <v>0</v>
      </c>
      <c r="M58" s="39">
        <f t="shared" si="27"/>
        <v>2</v>
      </c>
      <c r="N58" s="40">
        <f t="shared" si="28"/>
        <v>41122</v>
      </c>
      <c r="O58" s="39">
        <f t="shared" si="29"/>
        <v>2</v>
      </c>
      <c r="P58" s="42" t="str">
        <f>+IF(Sheet2!S58="P","1%",IF(Sheet2!S58="h","1%",IF(Sheet2!S58="","20%","2%")))</f>
        <v>20%</v>
      </c>
      <c r="Q58" s="36" t="str">
        <f>+VLOOKUP('TDS data input sheet'!A59,Sheet2!$T$3:$BD$8,24,0)</f>
        <v>10%</v>
      </c>
      <c r="R58" s="36">
        <f>+LEFT('TDS data input sheet'!D59,4)</f>
      </c>
      <c r="S58" s="36">
        <f t="shared" si="30"/>
      </c>
    </row>
    <row r="59" spans="1:19" ht="15" customHeight="1">
      <c r="A59" s="38">
        <f>+EOMONTH('TDS data input sheet'!E60,0)</f>
        <v>41090</v>
      </c>
      <c r="B59" s="38">
        <f>+'TDS data input sheet'!E60</f>
        <v>41061</v>
      </c>
      <c r="C59" s="39">
        <f t="shared" si="18"/>
        <v>6</v>
      </c>
      <c r="D59" s="40">
        <f>+'TDS data input sheet'!G60</f>
        <v>41128</v>
      </c>
      <c r="E59" s="39">
        <f t="shared" si="19"/>
        <v>8</v>
      </c>
      <c r="F59" s="39">
        <f t="shared" si="20"/>
        <v>2</v>
      </c>
      <c r="G59" s="39">
        <f t="shared" si="21"/>
        <v>14</v>
      </c>
      <c r="H59" s="39">
        <f t="shared" si="22"/>
        <v>67</v>
      </c>
      <c r="I59" s="41">
        <f t="shared" si="23"/>
        <v>2.2333333333333334</v>
      </c>
      <c r="J59" s="41">
        <f t="shared" si="24"/>
        <v>0.18611111111111112</v>
      </c>
      <c r="K59" s="39">
        <f t="shared" si="25"/>
        <v>0</v>
      </c>
      <c r="L59" s="39">
        <f t="shared" si="26"/>
        <v>0</v>
      </c>
      <c r="M59" s="39">
        <f t="shared" si="27"/>
        <v>2</v>
      </c>
      <c r="N59" s="40">
        <f t="shared" si="28"/>
        <v>41122</v>
      </c>
      <c r="O59" s="39">
        <f t="shared" si="29"/>
        <v>2</v>
      </c>
      <c r="P59" s="42" t="str">
        <f>+IF(Sheet2!S59="P","1%",IF(Sheet2!S59="h","1%",IF(Sheet2!S59="","20%","2%")))</f>
        <v>20%</v>
      </c>
      <c r="Q59" s="36" t="str">
        <f>+VLOOKUP('TDS data input sheet'!A60,Sheet2!$T$3:$BD$8,24,0)</f>
        <v>10%</v>
      </c>
      <c r="R59" s="36">
        <f>+LEFT('TDS data input sheet'!D60,4)</f>
      </c>
      <c r="S59" s="36">
        <f t="shared" si="30"/>
      </c>
    </row>
    <row r="60" spans="1:19" ht="15" customHeight="1">
      <c r="A60" s="38">
        <f>+EOMONTH('TDS data input sheet'!E61,0)</f>
        <v>41090</v>
      </c>
      <c r="B60" s="38">
        <f>+'TDS data input sheet'!E61</f>
        <v>41061</v>
      </c>
      <c r="C60" s="39">
        <f t="shared" si="18"/>
        <v>6</v>
      </c>
      <c r="D60" s="40">
        <f>+'TDS data input sheet'!G61</f>
        <v>41128</v>
      </c>
      <c r="E60" s="39">
        <f t="shared" si="19"/>
        <v>8</v>
      </c>
      <c r="F60" s="39">
        <f t="shared" si="20"/>
        <v>2</v>
      </c>
      <c r="G60" s="39">
        <f t="shared" si="21"/>
        <v>14</v>
      </c>
      <c r="H60" s="39">
        <f t="shared" si="22"/>
        <v>67</v>
      </c>
      <c r="I60" s="41">
        <f t="shared" si="23"/>
        <v>2.2333333333333334</v>
      </c>
      <c r="J60" s="41">
        <f t="shared" si="24"/>
        <v>0.18611111111111112</v>
      </c>
      <c r="K60" s="39">
        <f t="shared" si="25"/>
        <v>0</v>
      </c>
      <c r="L60" s="39">
        <f t="shared" si="26"/>
        <v>0</v>
      </c>
      <c r="M60" s="39">
        <f t="shared" si="27"/>
        <v>2</v>
      </c>
      <c r="N60" s="40">
        <f t="shared" si="28"/>
        <v>41122</v>
      </c>
      <c r="O60" s="39">
        <f t="shared" si="29"/>
        <v>2</v>
      </c>
      <c r="P60" s="42" t="str">
        <f>+IF(Sheet2!S60="P","1%",IF(Sheet2!S60="h","1%",IF(Sheet2!S60="","20%","2%")))</f>
        <v>20%</v>
      </c>
      <c r="Q60" s="36" t="e">
        <f>+VLOOKUP('TDS data input sheet'!A61,Sheet2!$T$3:$BD$8,24,0)</f>
        <v>#N/A</v>
      </c>
      <c r="R60" s="36">
        <f>+LEFT('TDS data input sheet'!D61,4)</f>
      </c>
      <c r="S60" s="36">
        <f t="shared" si="30"/>
      </c>
    </row>
    <row r="61" spans="1:19" ht="15" customHeight="1">
      <c r="A61" s="38">
        <f>+EOMONTH('TDS data input sheet'!E62,0)</f>
        <v>41090</v>
      </c>
      <c r="B61" s="38">
        <f>+'TDS data input sheet'!E62</f>
        <v>41061</v>
      </c>
      <c r="C61" s="39">
        <f t="shared" si="18"/>
        <v>6</v>
      </c>
      <c r="D61" s="40">
        <f>+'TDS data input sheet'!G62</f>
        <v>41128</v>
      </c>
      <c r="E61" s="39">
        <f t="shared" si="19"/>
        <v>8</v>
      </c>
      <c r="F61" s="39">
        <f t="shared" si="20"/>
        <v>2</v>
      </c>
      <c r="G61" s="39">
        <f t="shared" si="21"/>
        <v>14</v>
      </c>
      <c r="H61" s="39">
        <f t="shared" si="22"/>
        <v>67</v>
      </c>
      <c r="I61" s="41">
        <f t="shared" si="23"/>
        <v>2.2333333333333334</v>
      </c>
      <c r="J61" s="41">
        <f t="shared" si="24"/>
        <v>0.18611111111111112</v>
      </c>
      <c r="K61" s="39">
        <f t="shared" si="25"/>
        <v>0</v>
      </c>
      <c r="L61" s="39">
        <f t="shared" si="26"/>
        <v>0</v>
      </c>
      <c r="M61" s="39">
        <f t="shared" si="27"/>
        <v>2</v>
      </c>
      <c r="N61" s="40">
        <f t="shared" si="28"/>
        <v>41122</v>
      </c>
      <c r="O61" s="39">
        <f t="shared" si="29"/>
        <v>2</v>
      </c>
      <c r="P61" s="42" t="str">
        <f>+IF(Sheet2!S61="P","1%",IF(Sheet2!S61="h","1%",IF(Sheet2!S61="","20%","2%")))</f>
        <v>20%</v>
      </c>
      <c r="Q61" s="36" t="str">
        <f>+VLOOKUP('TDS data input sheet'!A62,Sheet2!$T$3:$BD$8,24,0)</f>
        <v>10%</v>
      </c>
      <c r="R61" s="36">
        <f>+LEFT('TDS data input sheet'!D62,4)</f>
      </c>
      <c r="S61" s="36">
        <f t="shared" si="30"/>
      </c>
    </row>
    <row r="62" spans="1:19" ht="15" customHeight="1">
      <c r="A62" s="38">
        <f>+EOMONTH('TDS data input sheet'!E63,0)</f>
        <v>41090</v>
      </c>
      <c r="B62" s="38">
        <f>+'TDS data input sheet'!E63</f>
        <v>41061</v>
      </c>
      <c r="C62" s="39">
        <f t="shared" si="18"/>
        <v>6</v>
      </c>
      <c r="D62" s="40">
        <f>+'TDS data input sheet'!G63</f>
        <v>41128</v>
      </c>
      <c r="E62" s="39">
        <f t="shared" si="19"/>
        <v>8</v>
      </c>
      <c r="F62" s="39">
        <f t="shared" si="20"/>
        <v>2</v>
      </c>
      <c r="G62" s="39">
        <f t="shared" si="21"/>
        <v>14</v>
      </c>
      <c r="H62" s="39">
        <f t="shared" si="22"/>
        <v>67</v>
      </c>
      <c r="I62" s="41">
        <f t="shared" si="23"/>
        <v>2.2333333333333334</v>
      </c>
      <c r="J62" s="41">
        <f t="shared" si="24"/>
        <v>0.18611111111111112</v>
      </c>
      <c r="K62" s="39">
        <f t="shared" si="25"/>
        <v>0</v>
      </c>
      <c r="L62" s="39">
        <f t="shared" si="26"/>
        <v>0</v>
      </c>
      <c r="M62" s="39">
        <f t="shared" si="27"/>
        <v>2</v>
      </c>
      <c r="N62" s="40">
        <f t="shared" si="28"/>
        <v>41122</v>
      </c>
      <c r="O62" s="39">
        <f t="shared" si="29"/>
        <v>2</v>
      </c>
      <c r="P62" s="42" t="str">
        <f>+IF(Sheet2!S62="P","1%",IF(Sheet2!S62="h","1%",IF(Sheet2!S62="","20%","2%")))</f>
        <v>20%</v>
      </c>
      <c r="Q62" s="36" t="str">
        <f>+VLOOKUP('TDS data input sheet'!A63,Sheet2!$T$3:$BD$8,24,0)</f>
        <v>10%</v>
      </c>
      <c r="R62" s="36">
        <f>+LEFT('TDS data input sheet'!D63,4)</f>
      </c>
      <c r="S62" s="36">
        <f t="shared" si="30"/>
      </c>
    </row>
    <row r="63" spans="1:19" ht="15" customHeight="1">
      <c r="A63" s="38">
        <f>+EOMONTH('TDS data input sheet'!E64,0)</f>
        <v>41090</v>
      </c>
      <c r="B63" s="38">
        <f>+'TDS data input sheet'!E64</f>
        <v>41061</v>
      </c>
      <c r="C63" s="39">
        <f t="shared" si="18"/>
        <v>6</v>
      </c>
      <c r="D63" s="40">
        <f>+'TDS data input sheet'!G64</f>
        <v>41128</v>
      </c>
      <c r="E63" s="39">
        <f t="shared" si="19"/>
        <v>8</v>
      </c>
      <c r="F63" s="39">
        <f t="shared" si="20"/>
        <v>2</v>
      </c>
      <c r="G63" s="39">
        <f t="shared" si="21"/>
        <v>14</v>
      </c>
      <c r="H63" s="39">
        <f t="shared" si="22"/>
        <v>67</v>
      </c>
      <c r="I63" s="41">
        <f t="shared" si="23"/>
        <v>2.2333333333333334</v>
      </c>
      <c r="J63" s="41">
        <f t="shared" si="24"/>
        <v>0.18611111111111112</v>
      </c>
      <c r="K63" s="39">
        <f t="shared" si="25"/>
        <v>0</v>
      </c>
      <c r="L63" s="39">
        <f t="shared" si="26"/>
        <v>0</v>
      </c>
      <c r="M63" s="39">
        <f t="shared" si="27"/>
        <v>2</v>
      </c>
      <c r="N63" s="40">
        <f t="shared" si="28"/>
        <v>41122</v>
      </c>
      <c r="O63" s="39">
        <f t="shared" si="29"/>
        <v>2</v>
      </c>
      <c r="P63" s="42" t="str">
        <f>+IF(Sheet2!S63="P","1%",IF(Sheet2!S63="h","1%",IF(Sheet2!S63="","20%","2%")))</f>
        <v>20%</v>
      </c>
      <c r="Q63" s="36" t="str">
        <f>+VLOOKUP('TDS data input sheet'!A64,Sheet2!$T$3:$BD$8,24,0)</f>
        <v>10%</v>
      </c>
      <c r="R63" s="36">
        <f>+LEFT('TDS data input sheet'!D64,4)</f>
      </c>
      <c r="S63" s="36">
        <f t="shared" si="30"/>
      </c>
    </row>
    <row r="64" spans="1:19" ht="15" customHeight="1">
      <c r="A64" s="38">
        <f>+EOMONTH('TDS data input sheet'!E65,0)</f>
        <v>41090</v>
      </c>
      <c r="B64" s="38">
        <f>+'TDS data input sheet'!E65</f>
        <v>41061</v>
      </c>
      <c r="C64" s="39">
        <f t="shared" si="18"/>
        <v>6</v>
      </c>
      <c r="D64" s="40">
        <f>+'TDS data input sheet'!G65</f>
        <v>41128</v>
      </c>
      <c r="E64" s="39">
        <f t="shared" si="19"/>
        <v>8</v>
      </c>
      <c r="F64" s="39">
        <f t="shared" si="20"/>
        <v>2</v>
      </c>
      <c r="G64" s="39">
        <f t="shared" si="21"/>
        <v>14</v>
      </c>
      <c r="H64" s="39">
        <f t="shared" si="22"/>
        <v>67</v>
      </c>
      <c r="I64" s="41">
        <f t="shared" si="23"/>
        <v>2.2333333333333334</v>
      </c>
      <c r="J64" s="41">
        <f t="shared" si="24"/>
        <v>0.18611111111111112</v>
      </c>
      <c r="K64" s="39">
        <f t="shared" si="25"/>
        <v>0</v>
      </c>
      <c r="L64" s="39">
        <f t="shared" si="26"/>
        <v>0</v>
      </c>
      <c r="M64" s="39">
        <f t="shared" si="27"/>
        <v>2</v>
      </c>
      <c r="N64" s="40">
        <f t="shared" si="28"/>
        <v>41122</v>
      </c>
      <c r="O64" s="39">
        <f t="shared" si="29"/>
        <v>2</v>
      </c>
      <c r="P64" s="42" t="str">
        <f>+IF(Sheet2!S64="P","1%",IF(Sheet2!S64="h","1%",IF(Sheet2!S64="","20%","2%")))</f>
        <v>20%</v>
      </c>
      <c r="Q64" s="36" t="e">
        <f>+VLOOKUP('TDS data input sheet'!A65,Sheet2!$T$3:$BD$8,24,0)</f>
        <v>#N/A</v>
      </c>
      <c r="R64" s="36">
        <f>+LEFT('TDS data input sheet'!D65,4)</f>
      </c>
      <c r="S64" s="36">
        <f t="shared" si="30"/>
      </c>
    </row>
    <row r="65" spans="1:19" ht="15" customHeight="1">
      <c r="A65" s="38">
        <f>+EOMONTH('TDS data input sheet'!E66,0)</f>
        <v>41090</v>
      </c>
      <c r="B65" s="38">
        <f>+'TDS data input sheet'!E66</f>
        <v>41061</v>
      </c>
      <c r="C65" s="39">
        <f t="shared" si="18"/>
        <v>6</v>
      </c>
      <c r="D65" s="40">
        <f>+'TDS data input sheet'!G66</f>
        <v>41128</v>
      </c>
      <c r="E65" s="39">
        <f t="shared" si="19"/>
        <v>8</v>
      </c>
      <c r="F65" s="39">
        <f t="shared" si="20"/>
        <v>2</v>
      </c>
      <c r="G65" s="39">
        <f t="shared" si="21"/>
        <v>14</v>
      </c>
      <c r="H65" s="39">
        <f t="shared" si="22"/>
        <v>67</v>
      </c>
      <c r="I65" s="41">
        <f t="shared" si="23"/>
        <v>2.2333333333333334</v>
      </c>
      <c r="J65" s="41">
        <f t="shared" si="24"/>
        <v>0.18611111111111112</v>
      </c>
      <c r="K65" s="39">
        <f t="shared" si="25"/>
        <v>0</v>
      </c>
      <c r="L65" s="39">
        <f t="shared" si="26"/>
        <v>0</v>
      </c>
      <c r="M65" s="39">
        <f t="shared" si="27"/>
        <v>2</v>
      </c>
      <c r="N65" s="40">
        <f t="shared" si="28"/>
        <v>41122</v>
      </c>
      <c r="O65" s="39">
        <f t="shared" si="29"/>
        <v>2</v>
      </c>
      <c r="P65" s="42" t="str">
        <f>+IF(Sheet2!S65="P","1%",IF(Sheet2!S65="h","1%",IF(Sheet2!S65="","20%","2%")))</f>
        <v>20%</v>
      </c>
      <c r="Q65" s="36" t="str">
        <f>+VLOOKUP('TDS data input sheet'!A66,Sheet2!$T$3:$BD$8,24,0)</f>
        <v>10%</v>
      </c>
      <c r="R65" s="36">
        <f>+LEFT('TDS data input sheet'!D66,4)</f>
      </c>
      <c r="S65" s="36">
        <f t="shared" si="30"/>
      </c>
    </row>
    <row r="66" spans="1:19" ht="15" customHeight="1">
      <c r="A66" s="38">
        <f>+EOMONTH('TDS data input sheet'!E67,0)</f>
        <v>41090</v>
      </c>
      <c r="B66" s="38">
        <f>+'TDS data input sheet'!E67</f>
        <v>41061</v>
      </c>
      <c r="C66" s="39">
        <f t="shared" si="18"/>
        <v>6</v>
      </c>
      <c r="D66" s="40">
        <f>+'TDS data input sheet'!G67</f>
        <v>41128</v>
      </c>
      <c r="E66" s="39">
        <f t="shared" si="19"/>
        <v>8</v>
      </c>
      <c r="F66" s="39">
        <f t="shared" si="20"/>
        <v>2</v>
      </c>
      <c r="G66" s="39">
        <f t="shared" si="21"/>
        <v>14</v>
      </c>
      <c r="H66" s="39">
        <f t="shared" si="22"/>
        <v>67</v>
      </c>
      <c r="I66" s="41">
        <f t="shared" si="23"/>
        <v>2.2333333333333334</v>
      </c>
      <c r="J66" s="41">
        <f t="shared" si="24"/>
        <v>0.18611111111111112</v>
      </c>
      <c r="K66" s="39">
        <f t="shared" si="25"/>
        <v>0</v>
      </c>
      <c r="L66" s="39">
        <f t="shared" si="26"/>
        <v>0</v>
      </c>
      <c r="M66" s="39">
        <f t="shared" si="27"/>
        <v>2</v>
      </c>
      <c r="N66" s="40">
        <f t="shared" si="28"/>
        <v>41122</v>
      </c>
      <c r="O66" s="39">
        <f t="shared" si="29"/>
        <v>2</v>
      </c>
      <c r="P66" s="42" t="str">
        <f>+IF(Sheet2!S66="P","1%",IF(Sheet2!S66="h","1%",IF(Sheet2!S66="","20%","2%")))</f>
        <v>20%</v>
      </c>
      <c r="Q66" s="36" t="str">
        <f>+VLOOKUP('TDS data input sheet'!A67,Sheet2!$T$3:$BD$8,24,0)</f>
        <v>10%</v>
      </c>
      <c r="R66" s="36">
        <f>+LEFT('TDS data input sheet'!D67,4)</f>
      </c>
      <c r="S66" s="36">
        <f t="shared" si="30"/>
      </c>
    </row>
    <row r="67" spans="1:19" ht="15" customHeight="1">
      <c r="A67" s="38">
        <f>+EOMONTH('TDS data input sheet'!E68,0)</f>
        <v>41090</v>
      </c>
      <c r="B67" s="38">
        <f>+'TDS data input sheet'!E68</f>
        <v>41061</v>
      </c>
      <c r="C67" s="39">
        <f t="shared" si="18"/>
        <v>6</v>
      </c>
      <c r="D67" s="40">
        <f>+'TDS data input sheet'!G68</f>
        <v>41128</v>
      </c>
      <c r="E67" s="39">
        <f t="shared" si="19"/>
        <v>8</v>
      </c>
      <c r="F67" s="39">
        <f t="shared" si="20"/>
        <v>2</v>
      </c>
      <c r="G67" s="39">
        <f t="shared" si="21"/>
        <v>14</v>
      </c>
      <c r="H67" s="39">
        <f t="shared" si="22"/>
        <v>67</v>
      </c>
      <c r="I67" s="41">
        <f t="shared" si="23"/>
        <v>2.2333333333333334</v>
      </c>
      <c r="J67" s="41">
        <f t="shared" si="24"/>
        <v>0.18611111111111112</v>
      </c>
      <c r="K67" s="39">
        <f t="shared" si="25"/>
        <v>0</v>
      </c>
      <c r="L67" s="39">
        <f t="shared" si="26"/>
        <v>0</v>
      </c>
      <c r="M67" s="39">
        <f t="shared" si="27"/>
        <v>2</v>
      </c>
      <c r="N67" s="40">
        <f t="shared" si="28"/>
        <v>41122</v>
      </c>
      <c r="O67" s="39">
        <f t="shared" si="29"/>
        <v>2</v>
      </c>
      <c r="P67" s="42" t="str">
        <f>+IF(Sheet2!S67="P","1%",IF(Sheet2!S67="h","1%",IF(Sheet2!S67="","20%","2%")))</f>
        <v>20%</v>
      </c>
      <c r="Q67" s="36" t="str">
        <f>+VLOOKUP('TDS data input sheet'!A68,Sheet2!$T$3:$BD$8,24,0)</f>
        <v>10%</v>
      </c>
      <c r="R67" s="36">
        <f>+LEFT('TDS data input sheet'!D68,4)</f>
      </c>
      <c r="S67" s="36">
        <f t="shared" si="30"/>
      </c>
    </row>
    <row r="68" spans="1:19" ht="15" customHeight="1">
      <c r="A68" s="38">
        <f>+EOMONTH('TDS data input sheet'!E69,0)</f>
        <v>41090</v>
      </c>
      <c r="B68" s="38">
        <f>+'TDS data input sheet'!E69</f>
        <v>41061</v>
      </c>
      <c r="C68" s="39">
        <f t="shared" si="18"/>
        <v>6</v>
      </c>
      <c r="D68" s="40">
        <f>+'TDS data input sheet'!G69</f>
        <v>41128</v>
      </c>
      <c r="E68" s="39">
        <f t="shared" si="19"/>
        <v>8</v>
      </c>
      <c r="F68" s="39">
        <f t="shared" si="20"/>
        <v>2</v>
      </c>
      <c r="G68" s="39">
        <f t="shared" si="21"/>
        <v>14</v>
      </c>
      <c r="H68" s="39">
        <f t="shared" si="22"/>
        <v>67</v>
      </c>
      <c r="I68" s="41">
        <f t="shared" si="23"/>
        <v>2.2333333333333334</v>
      </c>
      <c r="J68" s="41">
        <f t="shared" si="24"/>
        <v>0.18611111111111112</v>
      </c>
      <c r="K68" s="39">
        <f t="shared" si="25"/>
        <v>0</v>
      </c>
      <c r="L68" s="39">
        <f t="shared" si="26"/>
        <v>0</v>
      </c>
      <c r="M68" s="39">
        <f t="shared" si="27"/>
        <v>2</v>
      </c>
      <c r="N68" s="40">
        <f t="shared" si="28"/>
        <v>41122</v>
      </c>
      <c r="O68" s="39">
        <f>(IF(N68&gt;D68,F68,M68))</f>
        <v>2</v>
      </c>
      <c r="P68" s="42" t="str">
        <f>+IF(Sheet2!S68="P","1%",IF(Sheet2!S68="h","1%",IF(Sheet2!S68="","20%","2%")))</f>
        <v>20%</v>
      </c>
      <c r="Q68" s="36" t="str">
        <f>+VLOOKUP('TDS data input sheet'!A69,Sheet2!$T$3:$BD$8,24,0)</f>
        <v>10%</v>
      </c>
      <c r="R68" s="36">
        <f>+LEFT('TDS data input sheet'!D69,4)</f>
      </c>
      <c r="S68" s="36">
        <f>+RIGHT(R68,1)</f>
      </c>
    </row>
    <row r="69" spans="1:19" ht="15" customHeight="1">
      <c r="A69" s="38">
        <f>+EOMONTH('TDS data input sheet'!E70,0)</f>
        <v>41090</v>
      </c>
      <c r="B69" s="38">
        <f>+'TDS data input sheet'!E70</f>
        <v>41061</v>
      </c>
      <c r="C69" s="39">
        <f>+MONTH(B69)</f>
        <v>6</v>
      </c>
      <c r="D69" s="40">
        <f>+'TDS data input sheet'!G70</f>
        <v>41128</v>
      </c>
      <c r="E69" s="39">
        <f>+MONTH(D69)</f>
        <v>8</v>
      </c>
      <c r="F69" s="39">
        <f>+E69-C69</f>
        <v>2</v>
      </c>
      <c r="G69" s="39">
        <f>12-C69+E69</f>
        <v>14</v>
      </c>
      <c r="H69" s="39">
        <f>+D69-B69</f>
        <v>67</v>
      </c>
      <c r="I69" s="41">
        <f>+H69/30</f>
        <v>2.2333333333333334</v>
      </c>
      <c r="J69" s="41">
        <f>+I69/12</f>
        <v>0.18611111111111112</v>
      </c>
      <c r="K69" s="39">
        <f>+ROUNDDOWN(J69,0)</f>
        <v>0</v>
      </c>
      <c r="L69" s="39">
        <f>+K69*12</f>
        <v>0</v>
      </c>
      <c r="M69" s="39">
        <f>+IF(F69&lt;0,G69,F69)+L69</f>
        <v>2</v>
      </c>
      <c r="N69" s="40">
        <f t="shared" si="28"/>
        <v>41122</v>
      </c>
      <c r="O69" s="39">
        <f>(IF(N69&gt;D69,F69,M69))</f>
        <v>2</v>
      </c>
      <c r="P69" s="42" t="str">
        <f>+IF(Sheet2!S69="P","1%",IF(Sheet2!S69="h","1%",IF(Sheet2!S69="","20%","2%")))</f>
        <v>20%</v>
      </c>
      <c r="Q69" s="36" t="str">
        <f>+VLOOKUP('TDS data input sheet'!A70,Sheet2!$T$3:$BD$8,24,0)</f>
        <v>10%</v>
      </c>
      <c r="R69" s="36">
        <f>+LEFT('TDS data input sheet'!D70,4)</f>
      </c>
      <c r="S69" s="36">
        <f>+RIGHT(R69,1)</f>
      </c>
    </row>
    <row r="70" spans="1:19" ht="15" customHeight="1">
      <c r="A70" s="44"/>
      <c r="B70" s="45"/>
      <c r="C70" s="44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</sheetData>
  <sheetProtection password="860F" sheet="1" objects="1" scenarios="1" selectLockedCells="1"/>
  <mergeCells count="2">
    <mergeCell ref="W1:Y1"/>
    <mergeCell ref="AA1:AC1"/>
  </mergeCells>
  <dataValidations count="6">
    <dataValidation type="whole" operator="lessThanOrEqual" allowBlank="1" showInputMessage="1" showErrorMessage="1" sqref="W3:W9 AA3:AA9">
      <formula1>31</formula1>
    </dataValidation>
    <dataValidation type="whole" operator="lessThanOrEqual" allowBlank="1" showInputMessage="1" showErrorMessage="1" sqref="X3:X9 AB3:AB9">
      <formula1>12</formula1>
    </dataValidation>
    <dataValidation type="textLength" operator="equal" allowBlank="1" showInputMessage="1" showErrorMessage="1" sqref="BF3:BF9">
      <formula1>10</formula1>
    </dataValidation>
    <dataValidation type="list" allowBlank="1" showDropDown="1" showInputMessage="1" showErrorMessage="1" errorTitle="." sqref="BH3:BH9 S4:S69">
      <formula1>"P,H,F"</formula1>
    </dataValidation>
    <dataValidation type="list" allowBlank="1" showInputMessage="1" showErrorMessage="1" sqref="T3:T9">
      <formula1>$T$3:$T$8</formula1>
    </dataValidation>
    <dataValidation operator="greaterThan" allowBlank="1" showInputMessage="1" showErrorMessage="1" sqref="A4:A69 C4:C69"/>
  </dataValidations>
  <printOptions horizontalCentered="1"/>
  <pageMargins left="0.2" right="0.2" top="0.75" bottom="0.75" header="0.3" footer="0.3"/>
  <pageSetup horizontalDpi="600" verticalDpi="600" orientation="landscape" paperSize="9" r:id="rId2"/>
  <ignoredErrors>
    <ignoredError sqref="AQ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</dc:creator>
  <cp:keywords/>
  <dc:description/>
  <cp:lastModifiedBy>Sandeep Kanoi</cp:lastModifiedBy>
  <cp:lastPrinted>2012-01-27T19:04:17Z</cp:lastPrinted>
  <dcterms:created xsi:type="dcterms:W3CDTF">2012-01-19T20:05:06Z</dcterms:created>
  <dcterms:modified xsi:type="dcterms:W3CDTF">2012-02-01T02:55:29Z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